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mc.local\Data\Отдел кадров\0.0.1СПЕЦОЦЕНКА\"/>
    </mc:Choice>
  </mc:AlternateContent>
  <bookViews>
    <workbookView xWindow="-30" yWindow="75" windowWidth="11805" windowHeight="10050" activeTab="1"/>
  </bookViews>
  <sheets>
    <sheet name="на 01.01.2017г.для тариф." sheetId="18" r:id="rId1"/>
    <sheet name="рабочий 2017г." sheetId="4" r:id="rId2"/>
    <sheet name="Лист1" sheetId="19" r:id="rId3"/>
  </sheets>
  <definedNames>
    <definedName name="_xlnm._FilterDatabase" localSheetId="1" hidden="1">'рабочий 2017г.'!$A$1:$D$335</definedName>
    <definedName name="_xlnm.Print_Titles" localSheetId="0">'на 01.01.2017г.для тариф.'!$18:$19</definedName>
  </definedNames>
  <calcPr calcId="162913"/>
</workbook>
</file>

<file path=xl/calcChain.xml><?xml version="1.0" encoding="utf-8"?>
<calcChain xmlns="http://schemas.openxmlformats.org/spreadsheetml/2006/main">
  <c r="F1491" i="18" l="1"/>
  <c r="F1490" i="18"/>
  <c r="C1515" i="18" l="1"/>
  <c r="C1087" i="18"/>
  <c r="F648" i="18" l="1"/>
  <c r="F553" i="18"/>
  <c r="H553" i="18"/>
  <c r="F137" i="18"/>
  <c r="H222" i="18"/>
  <c r="H220" i="18"/>
  <c r="F222" i="18"/>
  <c r="F220" i="18"/>
  <c r="G1794" i="18"/>
  <c r="F1794" i="18"/>
  <c r="F1791" i="18"/>
  <c r="G1790" i="18"/>
  <c r="G1791" i="18" s="1"/>
  <c r="C1790" i="18"/>
  <c r="H1789" i="18"/>
  <c r="D1789" i="18" s="1"/>
  <c r="E1789" i="18" s="1"/>
  <c r="H1788" i="18"/>
  <c r="H1786" i="18"/>
  <c r="G1786" i="18"/>
  <c r="F1786" i="18"/>
  <c r="C1786" i="18"/>
  <c r="D1785" i="18"/>
  <c r="E1785" i="18" s="1"/>
  <c r="D1784" i="18"/>
  <c r="E1784" i="18" s="1"/>
  <c r="D1783" i="18"/>
  <c r="E1783" i="18" s="1"/>
  <c r="H1780" i="18"/>
  <c r="G1780" i="18"/>
  <c r="F1780" i="18"/>
  <c r="C1780" i="18"/>
  <c r="D1779" i="18"/>
  <c r="H1777" i="18"/>
  <c r="F1777" i="18"/>
  <c r="D1776" i="18"/>
  <c r="E1776" i="18" s="1"/>
  <c r="E1775" i="18"/>
  <c r="C1774" i="18"/>
  <c r="D1774" i="18" s="1"/>
  <c r="E1774" i="18" s="1"/>
  <c r="G1773" i="18"/>
  <c r="G1777" i="18" s="1"/>
  <c r="C1773" i="18"/>
  <c r="D1772" i="18"/>
  <c r="C1771" i="18"/>
  <c r="D1771" i="18" s="1"/>
  <c r="E1771" i="18" s="1"/>
  <c r="D1770" i="18"/>
  <c r="E1770" i="18" s="1"/>
  <c r="H1768" i="18"/>
  <c r="F1768" i="18"/>
  <c r="C1767" i="18"/>
  <c r="D1767" i="18" s="1"/>
  <c r="E1767" i="18" s="1"/>
  <c r="G1766" i="18"/>
  <c r="G1768" i="18" s="1"/>
  <c r="C1766" i="18"/>
  <c r="D1765" i="18"/>
  <c r="E1765" i="18" s="1"/>
  <c r="D1764" i="18"/>
  <c r="E1764" i="18" s="1"/>
  <c r="C1763" i="18"/>
  <c r="D1762" i="18"/>
  <c r="G1759" i="18"/>
  <c r="F1759" i="18"/>
  <c r="H1758" i="18"/>
  <c r="D1758" i="18" s="1"/>
  <c r="H1757" i="18"/>
  <c r="D1757" i="18" s="1"/>
  <c r="H1756" i="18"/>
  <c r="C1756" i="18"/>
  <c r="H1755" i="18"/>
  <c r="D1755" i="18" s="1"/>
  <c r="E1755" i="18" s="1"/>
  <c r="H1754" i="18"/>
  <c r="D1754" i="18" s="1"/>
  <c r="H1753" i="18"/>
  <c r="D1753" i="18" s="1"/>
  <c r="E1753" i="18" s="1"/>
  <c r="H1752" i="18"/>
  <c r="C1752" i="18"/>
  <c r="H1750" i="18"/>
  <c r="F1750" i="18"/>
  <c r="C1749" i="18"/>
  <c r="D1749" i="18" s="1"/>
  <c r="E1749" i="18" s="1"/>
  <c r="D1748" i="18"/>
  <c r="E1748" i="18" s="1"/>
  <c r="D1747" i="18"/>
  <c r="E1747" i="18" s="1"/>
  <c r="D1746" i="18"/>
  <c r="E1746" i="18" s="1"/>
  <c r="D1745" i="18"/>
  <c r="E1745" i="18" s="1"/>
  <c r="G1744" i="18"/>
  <c r="G1750" i="18" s="1"/>
  <c r="C1744" i="18"/>
  <c r="C1743" i="18"/>
  <c r="H1741" i="18"/>
  <c r="G1741" i="18"/>
  <c r="F1741" i="18"/>
  <c r="C1740" i="18"/>
  <c r="D1739" i="18"/>
  <c r="E1739" i="18" s="1"/>
  <c r="H1737" i="18"/>
  <c r="G1737" i="18"/>
  <c r="F1737" i="18"/>
  <c r="C1737" i="18"/>
  <c r="D1736" i="18"/>
  <c r="E1736" i="18" s="1"/>
  <c r="D1735" i="18"/>
  <c r="E1735" i="18" s="1"/>
  <c r="D1734" i="18"/>
  <c r="E1734" i="18" s="1"/>
  <c r="D1733" i="18"/>
  <c r="E1733" i="18" s="1"/>
  <c r="H1731" i="18"/>
  <c r="G1731" i="18"/>
  <c r="F1731" i="18"/>
  <c r="C1730" i="18"/>
  <c r="C1731" i="18" s="1"/>
  <c r="D1729" i="18"/>
  <c r="H1727" i="18"/>
  <c r="G1727" i="18"/>
  <c r="F1727" i="18"/>
  <c r="C1727" i="18"/>
  <c r="D1726" i="18"/>
  <c r="D1725" i="18"/>
  <c r="E1725" i="18" s="1"/>
  <c r="D1724" i="18"/>
  <c r="E1724" i="18" s="1"/>
  <c r="G1722" i="18"/>
  <c r="F1722" i="18"/>
  <c r="H1721" i="18"/>
  <c r="C1721" i="18"/>
  <c r="H1720" i="18"/>
  <c r="C1720" i="18"/>
  <c r="H1719" i="18"/>
  <c r="C1719" i="18"/>
  <c r="H1718" i="18"/>
  <c r="C1718" i="18"/>
  <c r="H1717" i="18"/>
  <c r="H1794" i="18" s="1"/>
  <c r="C1717" i="18"/>
  <c r="C1794" i="18" s="1"/>
  <c r="D1716" i="18"/>
  <c r="E1716" i="18" s="1"/>
  <c r="D1715" i="18"/>
  <c r="E1715" i="18" s="1"/>
  <c r="F1712" i="18"/>
  <c r="D1711" i="18"/>
  <c r="E1711" i="18" s="1"/>
  <c r="H1710" i="18"/>
  <c r="H1712" i="18" s="1"/>
  <c r="G1710" i="18"/>
  <c r="C1710" i="18"/>
  <c r="G1709" i="18"/>
  <c r="C1709" i="18"/>
  <c r="D1708" i="18"/>
  <c r="E1708" i="18" s="1"/>
  <c r="F1706" i="18"/>
  <c r="F1713" i="18" s="1"/>
  <c r="H1705" i="18"/>
  <c r="C1705" i="18"/>
  <c r="H1704" i="18"/>
  <c r="G1704" i="18"/>
  <c r="G1706" i="18" s="1"/>
  <c r="C1704" i="18"/>
  <c r="H1703" i="18"/>
  <c r="D1703" i="18" s="1"/>
  <c r="E1703" i="18" s="1"/>
  <c r="H1702" i="18"/>
  <c r="D1702" i="18" s="1"/>
  <c r="E1702" i="18" s="1"/>
  <c r="H1701" i="18"/>
  <c r="H1699" i="18"/>
  <c r="F1699" i="18"/>
  <c r="D1698" i="18"/>
  <c r="E1698" i="18" s="1"/>
  <c r="G1697" i="18"/>
  <c r="G1699" i="18" s="1"/>
  <c r="C1697" i="18"/>
  <c r="D1696" i="18"/>
  <c r="E1696" i="18" s="1"/>
  <c r="D1695" i="18"/>
  <c r="E1695" i="18" s="1"/>
  <c r="H1693" i="18"/>
  <c r="G1693" i="18"/>
  <c r="F1693" i="18"/>
  <c r="C1692" i="18"/>
  <c r="D1692" i="18" s="1"/>
  <c r="E1692" i="18" s="1"/>
  <c r="D1691" i="18"/>
  <c r="E1691" i="18" s="1"/>
  <c r="D1690" i="18"/>
  <c r="E1690" i="18" s="1"/>
  <c r="C1689" i="18"/>
  <c r="D1689" i="18" s="1"/>
  <c r="E1689" i="18" s="1"/>
  <c r="D1688" i="18"/>
  <c r="E1688" i="18" s="1"/>
  <c r="H1686" i="18"/>
  <c r="G1686" i="18"/>
  <c r="F1686" i="18"/>
  <c r="C1686" i="18"/>
  <c r="D1685" i="18"/>
  <c r="H1683" i="18"/>
  <c r="F1683" i="18"/>
  <c r="G1682" i="18"/>
  <c r="G1683" i="18" s="1"/>
  <c r="C1682" i="18"/>
  <c r="D1681" i="18"/>
  <c r="E1681" i="18" s="1"/>
  <c r="G1679" i="18"/>
  <c r="F1679" i="18"/>
  <c r="C1678" i="18"/>
  <c r="D1678" i="18" s="1"/>
  <c r="E1678" i="18" s="1"/>
  <c r="D1677" i="18"/>
  <c r="E1677" i="18" s="1"/>
  <c r="H1676" i="18"/>
  <c r="C1676" i="18"/>
  <c r="D1675" i="18"/>
  <c r="E1675" i="18" s="1"/>
  <c r="D1674" i="18"/>
  <c r="E1674" i="18" s="1"/>
  <c r="D1673" i="18"/>
  <c r="E1673" i="18" s="1"/>
  <c r="D1672" i="18"/>
  <c r="E1672" i="18" s="1"/>
  <c r="C1671" i="18"/>
  <c r="D1671" i="18" s="1"/>
  <c r="E1671" i="18" s="1"/>
  <c r="C1670" i="18"/>
  <c r="D1670" i="18" s="1"/>
  <c r="E1670" i="18" s="1"/>
  <c r="C1669" i="18"/>
  <c r="D1669" i="18" s="1"/>
  <c r="E1669" i="18" s="1"/>
  <c r="C1668" i="18"/>
  <c r="D1668" i="18" s="1"/>
  <c r="E1668" i="18" s="1"/>
  <c r="C1667" i="18"/>
  <c r="D1667" i="18" s="1"/>
  <c r="E1667" i="18" s="1"/>
  <c r="C1666" i="18"/>
  <c r="D1666" i="18" s="1"/>
  <c r="E1666" i="18" s="1"/>
  <c r="D1665" i="18"/>
  <c r="E1665" i="18" s="1"/>
  <c r="D1664" i="18"/>
  <c r="E1664" i="18" s="1"/>
  <c r="D1663" i="18"/>
  <c r="E1663" i="18" s="1"/>
  <c r="D1662" i="18"/>
  <c r="E1662" i="18" s="1"/>
  <c r="D1661" i="18"/>
  <c r="E1661" i="18" s="1"/>
  <c r="D1660" i="18"/>
  <c r="E1660" i="18" s="1"/>
  <c r="D1659" i="18"/>
  <c r="E1659" i="18" s="1"/>
  <c r="D1658" i="18"/>
  <c r="E1658" i="18" s="1"/>
  <c r="H1656" i="18"/>
  <c r="F1656" i="18"/>
  <c r="G1655" i="18"/>
  <c r="G1656" i="18" s="1"/>
  <c r="C1655" i="18"/>
  <c r="D1654" i="18"/>
  <c r="E1654" i="18" s="1"/>
  <c r="C1653" i="18"/>
  <c r="D1653" i="18" s="1"/>
  <c r="E1653" i="18" s="1"/>
  <c r="D1652" i="18"/>
  <c r="E1652" i="18" s="1"/>
  <c r="D1651" i="18"/>
  <c r="E1651" i="18" s="1"/>
  <c r="C1650" i="18"/>
  <c r="D1649" i="18"/>
  <c r="E1649" i="18" s="1"/>
  <c r="H1647" i="18"/>
  <c r="F1647" i="18"/>
  <c r="G1646" i="18"/>
  <c r="C1646" i="18"/>
  <c r="G1645" i="18"/>
  <c r="C1645" i="18"/>
  <c r="D1644" i="18"/>
  <c r="E1644" i="18" s="1"/>
  <c r="H1642" i="18"/>
  <c r="G1642" i="18"/>
  <c r="F1642" i="18"/>
  <c r="D1641" i="18"/>
  <c r="E1641" i="18" s="1"/>
  <c r="C1640" i="18"/>
  <c r="D1640" i="18" s="1"/>
  <c r="E1640" i="18" s="1"/>
  <c r="D1639" i="18"/>
  <c r="E1639" i="18" s="1"/>
  <c r="D1638" i="18"/>
  <c r="E1638" i="18" s="1"/>
  <c r="D1637" i="18"/>
  <c r="E1637" i="18" s="1"/>
  <c r="D1636" i="18"/>
  <c r="E1636" i="18" s="1"/>
  <c r="D1635" i="18"/>
  <c r="E1635" i="18" s="1"/>
  <c r="D1634" i="18"/>
  <c r="E1634" i="18" s="1"/>
  <c r="C1633" i="18"/>
  <c r="D1632" i="18"/>
  <c r="E1632" i="18" s="1"/>
  <c r="D1631" i="18"/>
  <c r="E1631" i="18" s="1"/>
  <c r="H1627" i="18"/>
  <c r="G1627" i="18"/>
  <c r="F1627" i="18"/>
  <c r="H1626" i="18"/>
  <c r="G1626" i="18"/>
  <c r="F1626" i="18"/>
  <c r="C1626" i="18"/>
  <c r="H1625" i="18"/>
  <c r="H1801" i="18" s="1"/>
  <c r="F1625" i="18"/>
  <c r="F1801" i="18" s="1"/>
  <c r="H1624" i="18"/>
  <c r="G1624" i="18"/>
  <c r="F1624" i="18"/>
  <c r="F1800" i="18" s="1"/>
  <c r="H1622" i="18"/>
  <c r="F1622" i="18"/>
  <c r="C1621" i="18"/>
  <c r="D1620" i="18"/>
  <c r="E1620" i="18" s="1"/>
  <c r="D1619" i="18"/>
  <c r="E1619" i="18" s="1"/>
  <c r="E1626" i="18" s="1"/>
  <c r="G1618" i="18"/>
  <c r="G1625" i="18" s="1"/>
  <c r="G1801" i="18" s="1"/>
  <c r="C1618" i="18"/>
  <c r="C1617" i="18"/>
  <c r="D1617" i="18" s="1"/>
  <c r="E1617" i="18" s="1"/>
  <c r="D1616" i="18"/>
  <c r="E1616" i="18" s="1"/>
  <c r="D1615" i="18"/>
  <c r="E1615" i="18" s="1"/>
  <c r="D1614" i="18"/>
  <c r="E1614" i="18" s="1"/>
  <c r="H1612" i="18"/>
  <c r="F1612" i="18"/>
  <c r="H1611" i="18"/>
  <c r="F1611" i="18"/>
  <c r="C1611" i="18"/>
  <c r="H1610" i="18"/>
  <c r="F1610" i="18"/>
  <c r="H1609" i="18"/>
  <c r="F1609" i="18"/>
  <c r="H1607" i="18"/>
  <c r="F1607" i="18"/>
  <c r="G1606" i="18"/>
  <c r="G1612" i="18" s="1"/>
  <c r="C1606" i="18"/>
  <c r="C1612" i="18" s="1"/>
  <c r="G1605" i="18"/>
  <c r="G1611" i="18" s="1"/>
  <c r="G1604" i="18"/>
  <c r="D1604" i="18" s="1"/>
  <c r="E1604" i="18" s="1"/>
  <c r="G1603" i="18"/>
  <c r="D1603" i="18" s="1"/>
  <c r="E1603" i="18" s="1"/>
  <c r="G1602" i="18"/>
  <c r="C1602" i="18"/>
  <c r="C1610" i="18" s="1"/>
  <c r="G1601" i="18"/>
  <c r="C1601" i="18"/>
  <c r="C1609" i="18" s="1"/>
  <c r="G1600" i="18"/>
  <c r="H1593" i="18"/>
  <c r="F1593" i="18"/>
  <c r="H1592" i="18"/>
  <c r="F1592" i="18"/>
  <c r="H1591" i="18"/>
  <c r="H1587" i="18"/>
  <c r="F1587" i="18"/>
  <c r="G1586" i="18"/>
  <c r="C1586" i="18"/>
  <c r="C1587" i="18" s="1"/>
  <c r="G1585" i="18"/>
  <c r="G1584" i="18"/>
  <c r="D1584" i="18" s="1"/>
  <c r="H1582" i="18"/>
  <c r="F1582" i="18"/>
  <c r="C1581" i="18"/>
  <c r="D1581" i="18" s="1"/>
  <c r="E1581" i="18" s="1"/>
  <c r="D1580" i="18"/>
  <c r="E1580" i="18" s="1"/>
  <c r="G1579" i="18"/>
  <c r="C1579" i="18"/>
  <c r="G1578" i="18"/>
  <c r="C1578" i="18"/>
  <c r="H1576" i="18"/>
  <c r="F1576" i="18"/>
  <c r="G1575" i="18"/>
  <c r="C1575" i="18"/>
  <c r="C1576" i="18" s="1"/>
  <c r="G1574" i="18"/>
  <c r="D1574" i="18" s="1"/>
  <c r="E1574" i="18" s="1"/>
  <c r="G1573" i="18"/>
  <c r="D1573" i="18" s="1"/>
  <c r="H1571" i="18"/>
  <c r="F1571" i="18"/>
  <c r="D1570" i="18"/>
  <c r="E1570" i="18" s="1"/>
  <c r="G1569" i="18"/>
  <c r="C1569" i="18"/>
  <c r="G1568" i="18"/>
  <c r="C1568" i="18"/>
  <c r="H1566" i="18"/>
  <c r="G1565" i="18"/>
  <c r="C1565" i="18"/>
  <c r="G1564" i="18"/>
  <c r="D1564" i="18" s="1"/>
  <c r="E1564" i="18" s="1"/>
  <c r="G1563" i="18"/>
  <c r="C1563" i="18"/>
  <c r="G1562" i="18"/>
  <c r="D1562" i="18" s="1"/>
  <c r="E1562" i="18" s="1"/>
  <c r="G1561" i="18"/>
  <c r="F1561" i="18"/>
  <c r="C1561" i="18"/>
  <c r="G1560" i="18"/>
  <c r="H1558" i="18"/>
  <c r="F1558" i="18"/>
  <c r="C1558" i="18"/>
  <c r="H1557" i="18"/>
  <c r="F1557" i="18"/>
  <c r="H1556" i="18"/>
  <c r="F1556" i="18"/>
  <c r="H1554" i="18"/>
  <c r="F1554" i="18"/>
  <c r="G1553" i="18"/>
  <c r="D1553" i="18" s="1"/>
  <c r="E1553" i="18" s="1"/>
  <c r="G1552" i="18"/>
  <c r="D1552" i="18" s="1"/>
  <c r="G1551" i="18"/>
  <c r="C1551" i="18"/>
  <c r="C1557" i="18" s="1"/>
  <c r="G1550" i="18"/>
  <c r="D1550" i="18" s="1"/>
  <c r="G1549" i="18"/>
  <c r="C1549" i="18"/>
  <c r="C1556" i="18" s="1"/>
  <c r="G1548" i="18"/>
  <c r="H1546" i="18"/>
  <c r="G1546" i="18"/>
  <c r="F1546" i="18"/>
  <c r="C1546" i="18"/>
  <c r="H1545" i="18"/>
  <c r="F1545" i="18"/>
  <c r="H1544" i="18"/>
  <c r="F1544" i="18"/>
  <c r="H1542" i="18"/>
  <c r="F1542" i="18"/>
  <c r="D1541" i="18"/>
  <c r="E1541" i="18" s="1"/>
  <c r="D1540" i="18"/>
  <c r="G1539" i="18"/>
  <c r="G1545" i="18" s="1"/>
  <c r="C1539" i="18"/>
  <c r="G1538" i="18"/>
  <c r="C1538" i="18"/>
  <c r="C1544" i="18" s="1"/>
  <c r="G1537" i="18"/>
  <c r="D1537" i="18" s="1"/>
  <c r="H1535" i="18"/>
  <c r="F1535" i="18"/>
  <c r="C1535" i="18"/>
  <c r="G1534" i="18"/>
  <c r="D1534" i="18" s="1"/>
  <c r="E1534" i="18" s="1"/>
  <c r="D1533" i="18"/>
  <c r="E1533" i="18" s="1"/>
  <c r="G1532" i="18"/>
  <c r="H1529" i="18"/>
  <c r="F1529" i="18"/>
  <c r="C1529" i="18"/>
  <c r="H1528" i="18"/>
  <c r="F1528" i="18"/>
  <c r="H1527" i="18"/>
  <c r="K1526" i="18"/>
  <c r="H1525" i="18"/>
  <c r="G1524" i="18"/>
  <c r="G1523" i="18"/>
  <c r="C1523" i="18"/>
  <c r="G1522" i="18"/>
  <c r="D1522" i="18" s="1"/>
  <c r="E1522" i="18" s="1"/>
  <c r="G1521" i="18"/>
  <c r="F1521" i="18"/>
  <c r="C1521" i="18"/>
  <c r="G1520" i="18"/>
  <c r="H1518" i="18"/>
  <c r="G1518" i="18"/>
  <c r="F1518" i="18"/>
  <c r="C1518" i="18"/>
  <c r="H1517" i="18"/>
  <c r="C1517" i="18"/>
  <c r="H1516" i="18"/>
  <c r="H1515" i="18"/>
  <c r="H1512" i="18"/>
  <c r="H1513" i="18" s="1"/>
  <c r="G1511" i="18"/>
  <c r="D1511" i="18" s="1"/>
  <c r="F1511" i="18"/>
  <c r="F1517" i="18" s="1"/>
  <c r="G1510" i="18"/>
  <c r="G1509" i="18"/>
  <c r="F1509" i="18"/>
  <c r="C1509" i="18"/>
  <c r="G1508" i="18"/>
  <c r="D1508" i="18" s="1"/>
  <c r="E1508" i="18" s="1"/>
  <c r="G1507" i="18"/>
  <c r="F1507" i="18"/>
  <c r="C1507" i="18"/>
  <c r="G1506" i="18"/>
  <c r="F1506" i="18"/>
  <c r="G1505" i="18"/>
  <c r="D1505" i="18" s="1"/>
  <c r="E1505" i="18" s="1"/>
  <c r="G1504" i="18"/>
  <c r="D1504" i="18" s="1"/>
  <c r="F1504" i="18"/>
  <c r="G1503" i="18"/>
  <c r="D1503" i="18" s="1"/>
  <c r="F1503" i="18"/>
  <c r="E1502" i="18"/>
  <c r="D1501" i="18"/>
  <c r="G1500" i="18"/>
  <c r="H1498" i="18"/>
  <c r="H1497" i="18"/>
  <c r="H1496" i="18"/>
  <c r="H1494" i="18"/>
  <c r="G1493" i="18"/>
  <c r="F1493" i="18"/>
  <c r="C1493" i="18"/>
  <c r="C1498" i="18" s="1"/>
  <c r="G1492" i="18"/>
  <c r="D1492" i="18" s="1"/>
  <c r="F1492" i="18"/>
  <c r="G1491" i="18"/>
  <c r="C1491" i="18"/>
  <c r="G1490" i="18"/>
  <c r="C1490" i="18"/>
  <c r="G1489" i="18"/>
  <c r="G1488" i="18"/>
  <c r="F1488" i="18"/>
  <c r="C1488" i="18"/>
  <c r="G1487" i="18"/>
  <c r="D1487" i="18" s="1"/>
  <c r="E1487" i="18" s="1"/>
  <c r="H1484" i="18"/>
  <c r="H1480" i="18"/>
  <c r="H1485" i="18" s="1"/>
  <c r="G1480" i="18"/>
  <c r="F1480" i="18"/>
  <c r="F1485" i="18" s="1"/>
  <c r="C1480" i="18"/>
  <c r="G1479" i="18"/>
  <c r="C1479" i="18"/>
  <c r="G1478" i="18"/>
  <c r="F1478" i="18"/>
  <c r="C1478" i="18"/>
  <c r="G1477" i="18"/>
  <c r="F1477" i="18"/>
  <c r="C1477" i="18"/>
  <c r="G1476" i="18"/>
  <c r="F1476" i="18"/>
  <c r="C1476" i="18"/>
  <c r="G1475" i="18"/>
  <c r="F1475" i="18"/>
  <c r="C1475" i="18"/>
  <c r="G1474" i="18"/>
  <c r="F1474" i="18"/>
  <c r="C1474" i="18"/>
  <c r="C1473" i="18"/>
  <c r="D1473" i="18" s="1"/>
  <c r="E1473" i="18" s="1"/>
  <c r="G1472" i="18"/>
  <c r="F1472" i="18"/>
  <c r="C1472" i="18"/>
  <c r="D1471" i="18"/>
  <c r="E1471" i="18" s="1"/>
  <c r="H1470" i="18"/>
  <c r="G1469" i="18"/>
  <c r="D1469" i="18" s="1"/>
  <c r="F1469" i="18"/>
  <c r="F1483" i="18" s="1"/>
  <c r="D1468" i="18"/>
  <c r="E1468" i="18" s="1"/>
  <c r="G1467" i="18"/>
  <c r="C1467" i="18"/>
  <c r="D1466" i="18"/>
  <c r="E1466" i="18" s="1"/>
  <c r="D1465" i="18"/>
  <c r="E1465" i="18" s="1"/>
  <c r="H1453" i="18"/>
  <c r="G1453" i="18"/>
  <c r="F1453" i="18"/>
  <c r="C1453" i="18"/>
  <c r="H1452" i="18"/>
  <c r="G1452" i="18"/>
  <c r="F1452" i="18"/>
  <c r="C1452" i="18"/>
  <c r="H1451" i="18"/>
  <c r="G1451" i="18"/>
  <c r="F1451" i="18"/>
  <c r="C1451" i="18"/>
  <c r="C1450" i="18" s="1"/>
  <c r="G1448" i="18"/>
  <c r="F1448" i="18"/>
  <c r="C1448" i="18"/>
  <c r="D1447" i="18"/>
  <c r="E1447" i="18" s="1"/>
  <c r="D1446" i="18"/>
  <c r="H1443" i="18"/>
  <c r="G1443" i="18"/>
  <c r="F1443" i="18"/>
  <c r="C1443" i="18"/>
  <c r="D1442" i="18"/>
  <c r="E1442" i="18" s="1"/>
  <c r="D1441" i="18"/>
  <c r="H1439" i="18"/>
  <c r="G1439" i="18"/>
  <c r="F1439" i="18"/>
  <c r="C1439" i="18"/>
  <c r="D1438" i="18"/>
  <c r="E1438" i="18" s="1"/>
  <c r="D1437" i="18"/>
  <c r="H1435" i="18"/>
  <c r="G1435" i="18"/>
  <c r="F1435" i="18"/>
  <c r="C1435" i="18"/>
  <c r="D1434" i="18"/>
  <c r="E1434" i="18" s="1"/>
  <c r="D1433" i="18"/>
  <c r="H1431" i="18"/>
  <c r="G1431" i="18"/>
  <c r="F1431" i="18"/>
  <c r="C1431" i="18"/>
  <c r="D1430" i="18"/>
  <c r="D1429" i="18"/>
  <c r="E1429" i="18" s="1"/>
  <c r="D1428" i="18"/>
  <c r="E1428" i="18" s="1"/>
  <c r="D1427" i="18"/>
  <c r="H1422" i="18"/>
  <c r="F1422" i="18"/>
  <c r="D1421" i="18"/>
  <c r="E1421" i="18" s="1"/>
  <c r="G1420" i="18"/>
  <c r="C1420" i="18"/>
  <c r="G1419" i="18"/>
  <c r="C1419" i="18"/>
  <c r="G1418" i="18"/>
  <c r="D1418" i="18" s="1"/>
  <c r="E1418" i="18" s="1"/>
  <c r="G1417" i="18"/>
  <c r="C1417" i="18"/>
  <c r="H1415" i="18"/>
  <c r="F1415" i="18"/>
  <c r="D1414" i="18"/>
  <c r="E1414" i="18" s="1"/>
  <c r="D1413" i="18"/>
  <c r="E1413" i="18" s="1"/>
  <c r="D1412" i="18"/>
  <c r="E1412" i="18" s="1"/>
  <c r="D1411" i="18"/>
  <c r="E1411" i="18" s="1"/>
  <c r="G1410" i="18"/>
  <c r="C1409" i="18"/>
  <c r="D1409" i="18" s="1"/>
  <c r="E1409" i="18" s="1"/>
  <c r="D1408" i="18"/>
  <c r="E1408" i="18" s="1"/>
  <c r="D1407" i="18"/>
  <c r="E1407" i="18" s="1"/>
  <c r="D1406" i="18"/>
  <c r="E1406" i="18" s="1"/>
  <c r="D1405" i="18"/>
  <c r="E1405" i="18" s="1"/>
  <c r="D1404" i="18"/>
  <c r="E1404" i="18" s="1"/>
  <c r="C1403" i="18"/>
  <c r="D1403" i="18" s="1"/>
  <c r="E1403" i="18" s="1"/>
  <c r="C1402" i="18"/>
  <c r="D1402" i="18" s="1"/>
  <c r="E1402" i="18" s="1"/>
  <c r="G1401" i="18"/>
  <c r="C1401" i="18"/>
  <c r="H1398" i="18"/>
  <c r="F1398" i="18"/>
  <c r="D1397" i="18"/>
  <c r="E1397" i="18" s="1"/>
  <c r="C1398" i="18"/>
  <c r="D1396" i="18"/>
  <c r="H1393" i="18"/>
  <c r="F1393" i="18"/>
  <c r="D1392" i="18"/>
  <c r="G1391" i="18"/>
  <c r="C1391" i="18"/>
  <c r="G1390" i="18"/>
  <c r="C1390" i="18"/>
  <c r="H1388" i="18"/>
  <c r="D1387" i="18"/>
  <c r="E1387" i="18" s="1"/>
  <c r="D1386" i="18"/>
  <c r="E1386" i="18" s="1"/>
  <c r="G1385" i="18"/>
  <c r="D1385" i="18" s="1"/>
  <c r="E1385" i="18" s="1"/>
  <c r="G1384" i="18"/>
  <c r="F1384" i="18"/>
  <c r="C1384" i="18"/>
  <c r="C1388" i="18" s="1"/>
  <c r="D1383" i="18"/>
  <c r="E1383" i="18" s="1"/>
  <c r="G1382" i="18"/>
  <c r="F1382" i="18"/>
  <c r="D1381" i="18"/>
  <c r="E1381" i="18" s="1"/>
  <c r="H1379" i="18"/>
  <c r="H1378" i="18"/>
  <c r="H1377" i="18"/>
  <c r="G1377" i="18"/>
  <c r="F1377" i="18"/>
  <c r="C1377" i="18"/>
  <c r="H1375" i="18"/>
  <c r="G1374" i="18"/>
  <c r="G1379" i="18" s="1"/>
  <c r="F1374" i="18"/>
  <c r="F1379" i="18" s="1"/>
  <c r="C1374" i="18"/>
  <c r="C1379" i="18" s="1"/>
  <c r="D1373" i="18"/>
  <c r="E1373" i="18" s="1"/>
  <c r="G1372" i="18"/>
  <c r="G1378" i="18" s="1"/>
  <c r="F1372" i="18"/>
  <c r="F1378" i="18" s="1"/>
  <c r="C1372" i="18"/>
  <c r="C1375" i="18" s="1"/>
  <c r="D1371" i="18"/>
  <c r="E1371" i="18" s="1"/>
  <c r="D1370" i="18"/>
  <c r="H1368" i="18"/>
  <c r="G1368" i="18"/>
  <c r="F1368" i="18"/>
  <c r="C1368" i="18"/>
  <c r="H1367" i="18"/>
  <c r="G1367" i="18"/>
  <c r="F1367" i="18"/>
  <c r="C1367" i="18"/>
  <c r="H1366" i="18"/>
  <c r="H1365" i="18" s="1"/>
  <c r="G1366" i="18"/>
  <c r="G1365" i="18" s="1"/>
  <c r="F1366" i="18"/>
  <c r="F1365" i="18" s="1"/>
  <c r="C1366" i="18"/>
  <c r="C1365" i="18" s="1"/>
  <c r="H1364" i="18"/>
  <c r="G1364" i="18"/>
  <c r="F1364" i="18"/>
  <c r="C1364" i="18"/>
  <c r="D1363" i="18"/>
  <c r="D1362" i="18"/>
  <c r="E1362" i="18" s="1"/>
  <c r="D1361" i="18"/>
  <c r="E1361" i="18" s="1"/>
  <c r="D1360" i="18"/>
  <c r="E1360" i="18" s="1"/>
  <c r="D1359" i="18"/>
  <c r="D1358" i="18"/>
  <c r="E1358" i="18" s="1"/>
  <c r="D1357" i="18"/>
  <c r="H1354" i="18"/>
  <c r="G1349" i="18"/>
  <c r="G1354" i="18" s="1"/>
  <c r="F1349" i="18"/>
  <c r="C1349" i="18"/>
  <c r="D1348" i="18"/>
  <c r="E1348" i="18" s="1"/>
  <c r="D1347" i="18"/>
  <c r="E1347" i="18" s="1"/>
  <c r="D1346" i="18"/>
  <c r="E1346" i="18" s="1"/>
  <c r="H1345" i="18"/>
  <c r="H1353" i="18" s="1"/>
  <c r="G1345" i="18"/>
  <c r="G1353" i="18" s="1"/>
  <c r="F1345" i="18"/>
  <c r="C1345" i="18"/>
  <c r="C1353" i="18" s="1"/>
  <c r="D1344" i="18"/>
  <c r="H1343" i="18"/>
  <c r="G1343" i="18"/>
  <c r="G1352" i="18" s="1"/>
  <c r="F1343" i="18"/>
  <c r="C1343" i="18"/>
  <c r="C1352" i="18" s="1"/>
  <c r="D1342" i="18"/>
  <c r="E1342" i="18" s="1"/>
  <c r="H1339" i="18"/>
  <c r="F1339" i="18"/>
  <c r="H1338" i="18"/>
  <c r="F1338" i="18"/>
  <c r="H1337" i="18"/>
  <c r="F1337" i="18"/>
  <c r="H1335" i="18"/>
  <c r="F1335" i="18"/>
  <c r="G1334" i="18"/>
  <c r="C1334" i="18"/>
  <c r="C1339" i="18" s="1"/>
  <c r="D1333" i="18"/>
  <c r="E1333" i="18" s="1"/>
  <c r="G1332" i="18"/>
  <c r="C1332" i="18"/>
  <c r="G1331" i="18"/>
  <c r="C1331" i="18"/>
  <c r="D1330" i="18"/>
  <c r="E1330" i="18" s="1"/>
  <c r="D1329" i="18"/>
  <c r="E1329" i="18" s="1"/>
  <c r="G1328" i="18"/>
  <c r="G1337" i="18" s="1"/>
  <c r="C1328" i="18"/>
  <c r="F1325" i="18"/>
  <c r="F1324" i="18"/>
  <c r="G1323" i="18"/>
  <c r="F1323" i="18"/>
  <c r="C1323" i="18"/>
  <c r="F1321" i="18"/>
  <c r="H1320" i="18"/>
  <c r="H1325" i="18" s="1"/>
  <c r="G1320" i="18"/>
  <c r="G1325" i="18" s="1"/>
  <c r="C1320" i="18"/>
  <c r="D1319" i="18"/>
  <c r="E1319" i="18" s="1"/>
  <c r="G1318" i="18"/>
  <c r="C1318" i="18"/>
  <c r="H1317" i="18"/>
  <c r="H1324" i="18" s="1"/>
  <c r="G1317" i="18"/>
  <c r="C1317" i="18"/>
  <c r="D1316" i="18"/>
  <c r="E1316" i="18" s="1"/>
  <c r="D1315" i="18"/>
  <c r="E1315" i="18" s="1"/>
  <c r="H1314" i="18"/>
  <c r="D1313" i="18"/>
  <c r="F1310" i="18"/>
  <c r="F1309" i="18"/>
  <c r="H1308" i="18"/>
  <c r="G1308" i="18"/>
  <c r="F1308" i="18"/>
  <c r="F1306" i="18"/>
  <c r="H1305" i="18"/>
  <c r="H1310" i="18" s="1"/>
  <c r="G1305" i="18"/>
  <c r="C1305" i="18"/>
  <c r="C1310" i="18" s="1"/>
  <c r="D1304" i="18"/>
  <c r="D1303" i="18"/>
  <c r="E1303" i="18" s="1"/>
  <c r="H1302" i="18"/>
  <c r="H1309" i="18" s="1"/>
  <c r="G1302" i="18"/>
  <c r="G1309" i="18" s="1"/>
  <c r="C1302" i="18"/>
  <c r="D1301" i="18"/>
  <c r="E1301" i="18" s="1"/>
  <c r="C1300" i="18"/>
  <c r="D1300" i="18" s="1"/>
  <c r="E1300" i="18" s="1"/>
  <c r="C1299" i="18"/>
  <c r="H1296" i="18"/>
  <c r="F1296" i="18"/>
  <c r="G1295" i="18"/>
  <c r="G1296" i="18" s="1"/>
  <c r="C1295" i="18"/>
  <c r="H1293" i="18"/>
  <c r="F1293" i="18"/>
  <c r="H1292" i="18"/>
  <c r="F1292" i="18"/>
  <c r="H1290" i="18"/>
  <c r="F1290" i="18"/>
  <c r="G1289" i="18"/>
  <c r="C1289" i="18"/>
  <c r="G1288" i="18"/>
  <c r="C1288" i="18"/>
  <c r="C1287" i="18"/>
  <c r="G1286" i="18"/>
  <c r="D1285" i="18"/>
  <c r="D1284" i="18"/>
  <c r="E1284" i="18" s="1"/>
  <c r="H1274" i="18"/>
  <c r="F1274" i="18"/>
  <c r="G1273" i="18"/>
  <c r="C1273" i="18"/>
  <c r="G1272" i="18"/>
  <c r="C1272" i="18"/>
  <c r="G1271" i="18"/>
  <c r="C1271" i="18"/>
  <c r="G1270" i="18"/>
  <c r="C1270" i="18"/>
  <c r="G1269" i="18"/>
  <c r="C1269" i="18"/>
  <c r="G1268" i="18"/>
  <c r="D1268" i="18" s="1"/>
  <c r="E1268" i="18" s="1"/>
  <c r="G1267" i="18"/>
  <c r="D1267" i="18" s="1"/>
  <c r="E1267" i="18" s="1"/>
  <c r="G1266" i="18"/>
  <c r="D1266" i="18" s="1"/>
  <c r="E1266" i="18" s="1"/>
  <c r="G1265" i="18"/>
  <c r="D1265" i="18" s="1"/>
  <c r="E1265" i="18" s="1"/>
  <c r="G1264" i="18"/>
  <c r="H1262" i="18"/>
  <c r="F1262" i="18"/>
  <c r="G1261" i="18"/>
  <c r="D1260" i="18"/>
  <c r="E1260" i="18" s="1"/>
  <c r="C1259" i="18"/>
  <c r="D1259" i="18" s="1"/>
  <c r="E1259" i="18" s="1"/>
  <c r="D1258" i="18"/>
  <c r="E1258" i="18" s="1"/>
  <c r="C1257" i="18"/>
  <c r="D1257" i="18" s="1"/>
  <c r="E1257" i="18" s="1"/>
  <c r="D1256" i="18"/>
  <c r="E1256" i="18" s="1"/>
  <c r="D1255" i="18"/>
  <c r="E1255" i="18" s="1"/>
  <c r="D1254" i="18"/>
  <c r="E1254" i="18" s="1"/>
  <c r="D1253" i="18"/>
  <c r="E1253" i="18" s="1"/>
  <c r="C1252" i="18"/>
  <c r="D1252" i="18" s="1"/>
  <c r="E1252" i="18" s="1"/>
  <c r="D1251" i="18"/>
  <c r="E1251" i="18" s="1"/>
  <c r="C1250" i="18"/>
  <c r="D1250" i="18" s="1"/>
  <c r="E1250" i="18" s="1"/>
  <c r="C1249" i="18"/>
  <c r="D1249" i="18" s="1"/>
  <c r="E1249" i="18" s="1"/>
  <c r="D1248" i="18"/>
  <c r="D1247" i="18"/>
  <c r="E1247" i="18" s="1"/>
  <c r="H1244" i="18"/>
  <c r="F1244" i="18"/>
  <c r="D1243" i="18"/>
  <c r="E1243" i="18" s="1"/>
  <c r="G1244" i="18"/>
  <c r="D1242" i="18"/>
  <c r="H1240" i="18"/>
  <c r="F1240" i="18"/>
  <c r="C1240" i="18"/>
  <c r="G1239" i="18"/>
  <c r="D1238" i="18"/>
  <c r="G1237" i="18"/>
  <c r="H1235" i="18"/>
  <c r="G1234" i="18"/>
  <c r="F1234" i="18"/>
  <c r="C1234" i="18"/>
  <c r="D1233" i="18"/>
  <c r="E1233" i="18" s="1"/>
  <c r="D1232" i="18"/>
  <c r="E1232" i="18" s="1"/>
  <c r="F1231" i="18"/>
  <c r="C1231" i="18"/>
  <c r="D1230" i="18"/>
  <c r="E1230" i="18" s="1"/>
  <c r="G1229" i="18"/>
  <c r="F1229" i="18"/>
  <c r="F1228" i="18"/>
  <c r="D1228" i="18"/>
  <c r="H1226" i="18"/>
  <c r="H1225" i="18"/>
  <c r="H1224" i="18"/>
  <c r="G1224" i="18"/>
  <c r="F1224" i="18"/>
  <c r="C1224" i="18"/>
  <c r="H1222" i="18"/>
  <c r="G1221" i="18"/>
  <c r="G1226" i="18" s="1"/>
  <c r="F1221" i="18"/>
  <c r="F1226" i="18" s="1"/>
  <c r="C1221" i="18"/>
  <c r="C1226" i="18" s="1"/>
  <c r="D1220" i="18"/>
  <c r="E1220" i="18" s="1"/>
  <c r="J1219" i="18"/>
  <c r="G1219" i="18"/>
  <c r="G1225" i="18" s="1"/>
  <c r="F1219" i="18"/>
  <c r="C1219" i="18"/>
  <c r="C1225" i="18" s="1"/>
  <c r="D1218" i="18"/>
  <c r="D1217" i="18"/>
  <c r="H1215" i="18"/>
  <c r="G1215" i="18"/>
  <c r="H1214" i="18"/>
  <c r="H1213" i="18"/>
  <c r="C1213" i="18"/>
  <c r="H1211" i="18"/>
  <c r="F1210" i="18"/>
  <c r="F1215" i="18" s="1"/>
  <c r="C1210" i="18"/>
  <c r="C1209" i="18"/>
  <c r="D1209" i="18" s="1"/>
  <c r="E1209" i="18" s="1"/>
  <c r="D1208" i="18"/>
  <c r="E1208" i="18" s="1"/>
  <c r="D1207" i="18"/>
  <c r="E1207" i="18" s="1"/>
  <c r="G1206" i="18"/>
  <c r="F1206" i="18"/>
  <c r="F1214" i="18" s="1"/>
  <c r="C1206" i="18"/>
  <c r="C1205" i="18"/>
  <c r="D1205" i="18" s="1"/>
  <c r="E1205" i="18" s="1"/>
  <c r="F1204" i="18"/>
  <c r="D1204" i="18"/>
  <c r="G1203" i="18"/>
  <c r="F1203" i="18"/>
  <c r="F1202" i="18"/>
  <c r="D1202" i="18"/>
  <c r="D1201" i="18"/>
  <c r="E1201" i="18" s="1"/>
  <c r="H1195" i="18"/>
  <c r="G1195" i="18"/>
  <c r="F1195" i="18"/>
  <c r="C1195" i="18"/>
  <c r="H1194" i="18"/>
  <c r="D1189" i="18"/>
  <c r="D1188" i="18"/>
  <c r="E1188" i="18" s="1"/>
  <c r="G1187" i="18"/>
  <c r="G1194" i="18" s="1"/>
  <c r="F1187" i="18"/>
  <c r="C1187" i="18"/>
  <c r="D1186" i="18"/>
  <c r="E1186" i="18" s="1"/>
  <c r="D1185" i="18"/>
  <c r="E1185" i="18" s="1"/>
  <c r="G1184" i="18"/>
  <c r="C1184" i="18"/>
  <c r="H1183" i="18"/>
  <c r="G1183" i="18"/>
  <c r="F1183" i="18"/>
  <c r="F1193" i="18" s="1"/>
  <c r="C1183" i="18"/>
  <c r="C1193" i="18" s="1"/>
  <c r="D1182" i="18"/>
  <c r="E1182" i="18" s="1"/>
  <c r="D1181" i="18"/>
  <c r="E1181" i="18" s="1"/>
  <c r="F1180" i="18"/>
  <c r="F1192" i="18" s="1"/>
  <c r="C1180" i="18"/>
  <c r="D1180" i="18" s="1"/>
  <c r="H1179" i="18"/>
  <c r="H1192" i="18" s="1"/>
  <c r="G1179" i="18"/>
  <c r="C1179" i="18"/>
  <c r="C1178" i="18"/>
  <c r="H1174" i="18"/>
  <c r="C1173" i="18"/>
  <c r="F1172" i="18"/>
  <c r="C1172" i="18"/>
  <c r="G1169" i="18"/>
  <c r="G1174" i="18" s="1"/>
  <c r="F1169" i="18"/>
  <c r="F1174" i="18" s="1"/>
  <c r="C1169" i="18"/>
  <c r="C1170" i="18" s="1"/>
  <c r="D1168" i="18"/>
  <c r="E1168" i="18" s="1"/>
  <c r="D1167" i="18"/>
  <c r="E1167" i="18" s="1"/>
  <c r="D1166" i="18"/>
  <c r="E1166" i="18" s="1"/>
  <c r="H1165" i="18"/>
  <c r="H1173" i="18" s="1"/>
  <c r="G1165" i="18"/>
  <c r="F1165" i="18"/>
  <c r="D1164" i="18"/>
  <c r="H1163" i="18"/>
  <c r="G1163" i="18"/>
  <c r="G1172" i="18" s="1"/>
  <c r="D1162" i="18"/>
  <c r="G1159" i="18"/>
  <c r="H1158" i="18"/>
  <c r="G1158" i="18"/>
  <c r="G1157" i="18"/>
  <c r="G1155" i="18"/>
  <c r="H1154" i="18"/>
  <c r="H1159" i="18" s="1"/>
  <c r="F1154" i="18"/>
  <c r="F1159" i="18" s="1"/>
  <c r="C1154" i="18"/>
  <c r="C1153" i="18"/>
  <c r="D1152" i="18"/>
  <c r="E1152" i="18" s="1"/>
  <c r="C1151" i="18"/>
  <c r="D1151" i="18" s="1"/>
  <c r="E1151" i="18" s="1"/>
  <c r="F1150" i="18"/>
  <c r="F1158" i="18" s="1"/>
  <c r="C1150" i="18"/>
  <c r="D1150" i="18" s="1"/>
  <c r="D1149" i="18"/>
  <c r="E1149" i="18" s="1"/>
  <c r="H1148" i="18"/>
  <c r="F1148" i="18"/>
  <c r="F1157" i="18" s="1"/>
  <c r="C1148" i="18"/>
  <c r="D1147" i="18"/>
  <c r="H1143" i="18"/>
  <c r="H1142" i="18"/>
  <c r="F1142" i="18"/>
  <c r="H1139" i="18"/>
  <c r="H1144" i="18" s="1"/>
  <c r="G1139" i="18"/>
  <c r="F1139" i="18"/>
  <c r="F1144" i="18" s="1"/>
  <c r="C1139" i="18"/>
  <c r="G1138" i="18"/>
  <c r="C1138" i="18"/>
  <c r="G1137" i="18"/>
  <c r="C1137" i="18"/>
  <c r="G1136" i="18"/>
  <c r="C1136" i="18"/>
  <c r="G1135" i="18"/>
  <c r="F1135" i="18"/>
  <c r="F1143" i="18" s="1"/>
  <c r="C1135" i="18"/>
  <c r="C1134" i="18"/>
  <c r="C1133" i="18"/>
  <c r="D1133" i="18" s="1"/>
  <c r="E1133" i="18" s="1"/>
  <c r="G1132" i="18"/>
  <c r="G1142" i="18" s="1"/>
  <c r="C1132" i="18"/>
  <c r="C1131" i="18"/>
  <c r="D1131" i="18" s="1"/>
  <c r="E1131" i="18" s="1"/>
  <c r="H1128" i="18"/>
  <c r="H1127" i="18"/>
  <c r="G1123" i="18"/>
  <c r="G1128" i="18" s="1"/>
  <c r="F1123" i="18"/>
  <c r="F1128" i="18" s="1"/>
  <c r="C1123" i="18"/>
  <c r="C1122" i="18"/>
  <c r="C1121" i="18"/>
  <c r="D1121" i="18" s="1"/>
  <c r="E1121" i="18" s="1"/>
  <c r="F1120" i="18"/>
  <c r="C1120" i="18"/>
  <c r="D1120" i="18" s="1"/>
  <c r="G1119" i="18"/>
  <c r="F1119" i="18"/>
  <c r="C1118" i="18"/>
  <c r="H1117" i="18"/>
  <c r="D1117" i="18" s="1"/>
  <c r="E1117" i="18" s="1"/>
  <c r="H1116" i="18"/>
  <c r="G1116" i="18"/>
  <c r="G1126" i="18" s="1"/>
  <c r="F1116" i="18"/>
  <c r="F1126" i="18" s="1"/>
  <c r="C1116" i="18"/>
  <c r="C1115" i="18"/>
  <c r="H1110" i="18"/>
  <c r="F1109" i="18"/>
  <c r="H1106" i="18"/>
  <c r="H1111" i="18" s="1"/>
  <c r="G1106" i="18"/>
  <c r="G1111" i="18" s="1"/>
  <c r="F1106" i="18"/>
  <c r="C1106" i="18"/>
  <c r="D1105" i="18"/>
  <c r="E1105" i="18" s="1"/>
  <c r="C1104" i="18"/>
  <c r="D1104" i="18" s="1"/>
  <c r="E1104" i="18" s="1"/>
  <c r="G1103" i="18"/>
  <c r="F1103" i="18"/>
  <c r="F1110" i="18" s="1"/>
  <c r="C1103" i="18"/>
  <c r="D1102" i="18"/>
  <c r="E1102" i="18" s="1"/>
  <c r="D1101" i="18"/>
  <c r="E1101" i="18" s="1"/>
  <c r="D1100" i="18"/>
  <c r="E1100" i="18" s="1"/>
  <c r="C1099" i="18"/>
  <c r="D1099" i="18" s="1"/>
  <c r="E1099" i="18" s="1"/>
  <c r="H1098" i="18"/>
  <c r="C1098" i="18"/>
  <c r="G1097" i="18"/>
  <c r="G1109" i="18" s="1"/>
  <c r="C1097" i="18"/>
  <c r="D1096" i="18"/>
  <c r="H1091" i="18"/>
  <c r="G1091" i="18"/>
  <c r="F1091" i="18"/>
  <c r="D1090" i="18"/>
  <c r="C1089" i="18"/>
  <c r="D1089" i="18" s="1"/>
  <c r="E1089" i="18" s="1"/>
  <c r="H1087" i="18"/>
  <c r="G1087" i="18"/>
  <c r="F1087" i="18"/>
  <c r="H1086" i="18"/>
  <c r="G1086" i="18"/>
  <c r="F1086" i="18"/>
  <c r="C1086" i="18"/>
  <c r="H1085" i="18"/>
  <c r="G1085" i="18"/>
  <c r="F1085" i="18"/>
  <c r="C1085" i="18"/>
  <c r="D1084" i="18"/>
  <c r="D1083" i="18"/>
  <c r="E1083" i="18" s="1"/>
  <c r="D1082" i="18"/>
  <c r="E1082" i="18" s="1"/>
  <c r="D1081" i="18"/>
  <c r="E1081" i="18" s="1"/>
  <c r="D1080" i="18"/>
  <c r="H1069" i="18"/>
  <c r="F1069" i="18"/>
  <c r="G1068" i="18"/>
  <c r="C1068" i="18"/>
  <c r="G1067" i="18"/>
  <c r="C1067" i="18"/>
  <c r="C1066" i="18"/>
  <c r="C1065" i="18"/>
  <c r="D1065" i="18" s="1"/>
  <c r="E1065" i="18" s="1"/>
  <c r="H1063" i="18"/>
  <c r="F1063" i="18"/>
  <c r="D1062" i="18"/>
  <c r="E1062" i="18" s="1"/>
  <c r="G1061" i="18"/>
  <c r="C1061" i="18"/>
  <c r="C1063" i="18" s="1"/>
  <c r="D1060" i="18"/>
  <c r="E1060" i="18" s="1"/>
  <c r="D1059" i="18"/>
  <c r="E1059" i="18" s="1"/>
  <c r="D1058" i="18"/>
  <c r="E1058" i="18" s="1"/>
  <c r="D1057" i="18"/>
  <c r="E1057" i="18" s="1"/>
  <c r="D1056" i="18"/>
  <c r="E1056" i="18" s="1"/>
  <c r="G1055" i="18"/>
  <c r="D1055" i="18" s="1"/>
  <c r="E1055" i="18" s="1"/>
  <c r="D1054" i="18"/>
  <c r="E1054" i="18" s="1"/>
  <c r="D1053" i="18"/>
  <c r="E1053" i="18" s="1"/>
  <c r="D1052" i="18"/>
  <c r="E1052" i="18" s="1"/>
  <c r="D1051" i="18"/>
  <c r="H1049" i="18"/>
  <c r="G1049" i="18"/>
  <c r="F1049" i="18"/>
  <c r="C1049" i="18"/>
  <c r="D1048" i="18"/>
  <c r="D1047" i="18"/>
  <c r="E1047" i="18" s="1"/>
  <c r="H1045" i="18"/>
  <c r="G1045" i="18"/>
  <c r="F1045" i="18"/>
  <c r="C1045" i="18"/>
  <c r="D1044" i="18"/>
  <c r="E1044" i="18" s="1"/>
  <c r="D1043" i="18"/>
  <c r="G1040" i="18"/>
  <c r="F1040" i="18"/>
  <c r="H1039" i="18"/>
  <c r="G1039" i="18"/>
  <c r="F1039" i="18"/>
  <c r="C1039" i="18"/>
  <c r="H1038" i="18"/>
  <c r="F1038" i="18"/>
  <c r="H1037" i="18"/>
  <c r="D1034" i="18"/>
  <c r="E1034" i="18" s="1"/>
  <c r="H1033" i="18"/>
  <c r="C1033" i="18"/>
  <c r="C1040" i="18" s="1"/>
  <c r="D1032" i="18"/>
  <c r="E1032" i="18" s="1"/>
  <c r="D1031" i="18"/>
  <c r="E1031" i="18" s="1"/>
  <c r="D1030" i="18"/>
  <c r="E1030" i="18" s="1"/>
  <c r="D1029" i="18"/>
  <c r="E1029" i="18" s="1"/>
  <c r="D1028" i="18"/>
  <c r="E1028" i="18" s="1"/>
  <c r="G1027" i="18"/>
  <c r="G1038" i="18" s="1"/>
  <c r="C1027" i="18"/>
  <c r="D1026" i="18"/>
  <c r="E1026" i="18" s="1"/>
  <c r="D1025" i="18"/>
  <c r="E1025" i="18" s="1"/>
  <c r="D1024" i="18"/>
  <c r="E1024" i="18" s="1"/>
  <c r="D1023" i="18"/>
  <c r="E1023" i="18" s="1"/>
  <c r="D1022" i="18"/>
  <c r="E1022" i="18" s="1"/>
  <c r="D1021" i="18"/>
  <c r="E1021" i="18" s="1"/>
  <c r="G1020" i="18"/>
  <c r="F1020" i="18"/>
  <c r="F1035" i="18" s="1"/>
  <c r="C1020" i="18"/>
  <c r="C1019" i="18"/>
  <c r="D1019" i="18" s="1"/>
  <c r="E1019" i="18" s="1"/>
  <c r="D1018" i="18"/>
  <c r="E1018" i="18" s="1"/>
  <c r="H1016" i="18"/>
  <c r="G1016" i="18"/>
  <c r="C1016" i="18"/>
  <c r="G1015" i="18"/>
  <c r="C1015" i="18"/>
  <c r="G1012" i="18"/>
  <c r="C1012" i="18"/>
  <c r="F1011" i="18"/>
  <c r="F1016" i="18" s="1"/>
  <c r="D1011" i="18"/>
  <c r="D1010" i="18"/>
  <c r="E1010" i="18" s="1"/>
  <c r="H1009" i="18"/>
  <c r="D1009" i="18" s="1"/>
  <c r="F1009" i="18"/>
  <c r="D1008" i="18"/>
  <c r="E1008" i="18" s="1"/>
  <c r="H1005" i="18"/>
  <c r="G1005" i="18"/>
  <c r="C1005" i="18"/>
  <c r="H1003" i="18"/>
  <c r="G1003" i="18"/>
  <c r="C1003" i="18"/>
  <c r="H999" i="18"/>
  <c r="G999" i="18"/>
  <c r="F999" i="18"/>
  <c r="C999" i="18"/>
  <c r="D998" i="18"/>
  <c r="E998" i="18" s="1"/>
  <c r="D997" i="18"/>
  <c r="E997" i="18" s="1"/>
  <c r="D996" i="18"/>
  <c r="E996" i="18" s="1"/>
  <c r="D995" i="18"/>
  <c r="F992" i="18"/>
  <c r="F1005" i="18" s="1"/>
  <c r="D992" i="18"/>
  <c r="D991" i="18"/>
  <c r="E991" i="18" s="1"/>
  <c r="H990" i="18"/>
  <c r="G990" i="18"/>
  <c r="F990" i="18"/>
  <c r="F1004" i="18" s="1"/>
  <c r="C990" i="18"/>
  <c r="D989" i="18"/>
  <c r="F988" i="18"/>
  <c r="F1003" i="18" s="1"/>
  <c r="D988" i="18"/>
  <c r="D987" i="18"/>
  <c r="E987" i="18" s="1"/>
  <c r="H978" i="18"/>
  <c r="H983" i="18" s="1"/>
  <c r="G978" i="18"/>
  <c r="G983" i="18" s="1"/>
  <c r="F978" i="18"/>
  <c r="F983" i="18" s="1"/>
  <c r="C978" i="18"/>
  <c r="C983" i="18" s="1"/>
  <c r="D977" i="18"/>
  <c r="D978" i="18" s="1"/>
  <c r="H976" i="18"/>
  <c r="H982" i="18" s="1"/>
  <c r="G976" i="18"/>
  <c r="G982" i="18" s="1"/>
  <c r="F976" i="18"/>
  <c r="F982" i="18" s="1"/>
  <c r="C976" i="18"/>
  <c r="C982" i="18" s="1"/>
  <c r="D975" i="18"/>
  <c r="D974" i="18"/>
  <c r="E974" i="18" s="1"/>
  <c r="H973" i="18"/>
  <c r="F973" i="18"/>
  <c r="F981" i="18" s="1"/>
  <c r="G972" i="18"/>
  <c r="C972" i="18"/>
  <c r="C973" i="18" s="1"/>
  <c r="C981" i="18" s="1"/>
  <c r="D971" i="18"/>
  <c r="E971" i="18" s="1"/>
  <c r="I971" i="18" s="1"/>
  <c r="D961" i="18"/>
  <c r="H960" i="18"/>
  <c r="G960" i="18"/>
  <c r="F960" i="18"/>
  <c r="C960" i="18"/>
  <c r="H959" i="18"/>
  <c r="H962" i="18" s="1"/>
  <c r="G959" i="18"/>
  <c r="G962" i="18" s="1"/>
  <c r="C959" i="18"/>
  <c r="D958" i="18"/>
  <c r="E958" i="18" s="1"/>
  <c r="D957" i="18"/>
  <c r="D956" i="18"/>
  <c r="E956" i="18" s="1"/>
  <c r="H953" i="18"/>
  <c r="G953" i="18"/>
  <c r="F953" i="18"/>
  <c r="C953" i="18"/>
  <c r="F952" i="18"/>
  <c r="G951" i="18"/>
  <c r="F951" i="18"/>
  <c r="C951" i="18"/>
  <c r="F949" i="18"/>
  <c r="D948" i="18"/>
  <c r="E948" i="18" s="1"/>
  <c r="D947" i="18"/>
  <c r="H946" i="18"/>
  <c r="H952" i="18" s="1"/>
  <c r="G946" i="18"/>
  <c r="C946" i="18"/>
  <c r="D945" i="18"/>
  <c r="E945" i="18" s="1"/>
  <c r="H944" i="18"/>
  <c r="D944" i="18" s="1"/>
  <c r="E944" i="18" s="1"/>
  <c r="D943" i="18"/>
  <c r="E943" i="18" s="1"/>
  <c r="D942" i="18"/>
  <c r="E942" i="18" s="1"/>
  <c r="F939" i="18"/>
  <c r="G938" i="18"/>
  <c r="F938" i="18"/>
  <c r="C938" i="18"/>
  <c r="F937" i="18"/>
  <c r="C937" i="18"/>
  <c r="F935" i="18"/>
  <c r="H934" i="18"/>
  <c r="H939" i="18" s="1"/>
  <c r="G934" i="18"/>
  <c r="G939" i="18" s="1"/>
  <c r="C934" i="18"/>
  <c r="C939" i="18" s="1"/>
  <c r="D933" i="18"/>
  <c r="E933" i="18" s="1"/>
  <c r="D932" i="18"/>
  <c r="E932" i="18" s="1"/>
  <c r="H931" i="18"/>
  <c r="H938" i="18" s="1"/>
  <c r="D930" i="18"/>
  <c r="E930" i="18" s="1"/>
  <c r="H929" i="18"/>
  <c r="G929" i="18"/>
  <c r="H928" i="18"/>
  <c r="D928" i="18" s="1"/>
  <c r="H925" i="18"/>
  <c r="G925" i="18"/>
  <c r="F925" i="18"/>
  <c r="D925" i="18"/>
  <c r="C925" i="18"/>
  <c r="H924" i="18"/>
  <c r="G924" i="18"/>
  <c r="F924" i="18"/>
  <c r="D924" i="18"/>
  <c r="C924" i="18"/>
  <c r="H923" i="18"/>
  <c r="G923" i="18"/>
  <c r="F923" i="18"/>
  <c r="D923" i="18"/>
  <c r="C923" i="18"/>
  <c r="H921" i="18"/>
  <c r="G921" i="18"/>
  <c r="F921" i="18"/>
  <c r="D921" i="18"/>
  <c r="C921" i="18"/>
  <c r="E920" i="18"/>
  <c r="E919" i="18"/>
  <c r="E918" i="18"/>
  <c r="E917" i="18"/>
  <c r="E916" i="18"/>
  <c r="E915" i="18"/>
  <c r="E914" i="18"/>
  <c r="H911" i="18"/>
  <c r="G911" i="18"/>
  <c r="F911" i="18"/>
  <c r="H910" i="18"/>
  <c r="G910" i="18"/>
  <c r="F910" i="18"/>
  <c r="C910" i="18"/>
  <c r="H909" i="18"/>
  <c r="G909" i="18"/>
  <c r="F909" i="18"/>
  <c r="C909" i="18"/>
  <c r="H907" i="18"/>
  <c r="G907" i="18"/>
  <c r="F907" i="18"/>
  <c r="C906" i="18"/>
  <c r="D905" i="18"/>
  <c r="E905" i="18" s="1"/>
  <c r="D904" i="18"/>
  <c r="E904" i="18" s="1"/>
  <c r="D903" i="18"/>
  <c r="E903" i="18" s="1"/>
  <c r="D902" i="18"/>
  <c r="D901" i="18"/>
  <c r="E901" i="18" s="1"/>
  <c r="D900" i="18"/>
  <c r="H896" i="18"/>
  <c r="H892" i="18"/>
  <c r="H897" i="18" s="1"/>
  <c r="G892" i="18"/>
  <c r="G897" i="18" s="1"/>
  <c r="F892" i="18"/>
  <c r="F897" i="18" s="1"/>
  <c r="C892" i="18"/>
  <c r="D891" i="18"/>
  <c r="E891" i="18" s="1"/>
  <c r="D890" i="18"/>
  <c r="E890" i="18" s="1"/>
  <c r="D889" i="18"/>
  <c r="E889" i="18" s="1"/>
  <c r="G888" i="18"/>
  <c r="G896" i="18" s="1"/>
  <c r="F888" i="18"/>
  <c r="F896" i="18" s="1"/>
  <c r="C888" i="18"/>
  <c r="D887" i="18"/>
  <c r="E887" i="18" s="1"/>
  <c r="E886" i="18"/>
  <c r="H885" i="18"/>
  <c r="G885" i="18"/>
  <c r="F885" i="18"/>
  <c r="F895" i="18" s="1"/>
  <c r="C885" i="18"/>
  <c r="D884" i="18"/>
  <c r="H881" i="18"/>
  <c r="F881" i="18"/>
  <c r="C880" i="18"/>
  <c r="G879" i="18"/>
  <c r="H877" i="18"/>
  <c r="F877" i="18"/>
  <c r="D876" i="18"/>
  <c r="E876" i="18" s="1"/>
  <c r="D875" i="18"/>
  <c r="E875" i="18" s="1"/>
  <c r="C874" i="18"/>
  <c r="G873" i="18"/>
  <c r="D873" i="18" s="1"/>
  <c r="E873" i="18" s="1"/>
  <c r="H863" i="18"/>
  <c r="F863" i="18"/>
  <c r="G862" i="18"/>
  <c r="C862" i="18"/>
  <c r="G861" i="18"/>
  <c r="D861" i="18" s="1"/>
  <c r="E861" i="18" s="1"/>
  <c r="G860" i="18"/>
  <c r="D860" i="18" s="1"/>
  <c r="E860" i="18" s="1"/>
  <c r="G859" i="18"/>
  <c r="D859" i="18" s="1"/>
  <c r="E859" i="18" s="1"/>
  <c r="G858" i="18"/>
  <c r="D858" i="18" s="1"/>
  <c r="E858" i="18" s="1"/>
  <c r="H856" i="18"/>
  <c r="F856" i="18"/>
  <c r="G855" i="18"/>
  <c r="C855" i="18"/>
  <c r="D854" i="18"/>
  <c r="E854" i="18" s="1"/>
  <c r="D853" i="18"/>
  <c r="E853" i="18" s="1"/>
  <c r="D852" i="18"/>
  <c r="E852" i="18" s="1"/>
  <c r="D851" i="18"/>
  <c r="E851" i="18" s="1"/>
  <c r="C850" i="18"/>
  <c r="D850" i="18" s="1"/>
  <c r="E850" i="18" s="1"/>
  <c r="G849" i="18"/>
  <c r="D849" i="18" s="1"/>
  <c r="E849" i="18" s="1"/>
  <c r="D848" i="18"/>
  <c r="E848" i="18" s="1"/>
  <c r="D847" i="18"/>
  <c r="E847" i="18" s="1"/>
  <c r="D846" i="18"/>
  <c r="E846" i="18" s="1"/>
  <c r="C845" i="18"/>
  <c r="D844" i="18"/>
  <c r="E844" i="18" s="1"/>
  <c r="D843" i="18"/>
  <c r="E843" i="18" s="1"/>
  <c r="G842" i="18"/>
  <c r="D842" i="18" s="1"/>
  <c r="E842" i="18" s="1"/>
  <c r="D841" i="18"/>
  <c r="E841" i="18" s="1"/>
  <c r="D840" i="18"/>
  <c r="E840" i="18" s="1"/>
  <c r="H838" i="18"/>
  <c r="G838" i="18"/>
  <c r="F838" i="18"/>
  <c r="C838" i="18"/>
  <c r="D837" i="18"/>
  <c r="E837" i="18" s="1"/>
  <c r="D836" i="18"/>
  <c r="E836" i="18" s="1"/>
  <c r="D835" i="18"/>
  <c r="F832" i="18"/>
  <c r="H831" i="18"/>
  <c r="G830" i="18"/>
  <c r="G832" i="18" s="1"/>
  <c r="C830" i="18"/>
  <c r="H828" i="18"/>
  <c r="G827" i="18"/>
  <c r="D827" i="18" s="1"/>
  <c r="F827" i="18"/>
  <c r="D826" i="18"/>
  <c r="E826" i="18" s="1"/>
  <c r="G825" i="18"/>
  <c r="D825" i="18" s="1"/>
  <c r="E825" i="18" s="1"/>
  <c r="G824" i="18"/>
  <c r="F824" i="18"/>
  <c r="C824" i="18"/>
  <c r="G823" i="18"/>
  <c r="F823" i="18"/>
  <c r="C823" i="18"/>
  <c r="D822" i="18"/>
  <c r="C819" i="18"/>
  <c r="H816" i="18"/>
  <c r="H820" i="18" s="1"/>
  <c r="G816" i="18"/>
  <c r="G820" i="18" s="1"/>
  <c r="F816" i="18"/>
  <c r="F820" i="18" s="1"/>
  <c r="C816" i="18"/>
  <c r="C820" i="18" s="1"/>
  <c r="D815" i="18"/>
  <c r="E815" i="18" s="1"/>
  <c r="H814" i="18"/>
  <c r="G814" i="18"/>
  <c r="F814" i="18"/>
  <c r="F819" i="18" s="1"/>
  <c r="D813" i="18"/>
  <c r="H811" i="18"/>
  <c r="G811" i="18"/>
  <c r="F811" i="18"/>
  <c r="C811" i="18"/>
  <c r="C810" i="18"/>
  <c r="H809" i="18"/>
  <c r="G809" i="18"/>
  <c r="C809" i="18"/>
  <c r="C807" i="18"/>
  <c r="D806" i="18"/>
  <c r="E806" i="18" s="1"/>
  <c r="D805" i="18"/>
  <c r="H804" i="18"/>
  <c r="G804" i="18"/>
  <c r="F804" i="18"/>
  <c r="F810" i="18" s="1"/>
  <c r="D803" i="18"/>
  <c r="E803" i="18" s="1"/>
  <c r="F802" i="18"/>
  <c r="D802" i="18"/>
  <c r="D801" i="18"/>
  <c r="H797" i="18"/>
  <c r="F797" i="18"/>
  <c r="H796" i="18"/>
  <c r="G796" i="18"/>
  <c r="F796" i="18"/>
  <c r="C796" i="18"/>
  <c r="H795" i="18"/>
  <c r="F795" i="18"/>
  <c r="H794" i="18"/>
  <c r="F794" i="18"/>
  <c r="H792" i="18"/>
  <c r="F792" i="18"/>
  <c r="G791" i="18"/>
  <c r="G797" i="18" s="1"/>
  <c r="C791" i="18"/>
  <c r="D790" i="18"/>
  <c r="G789" i="18"/>
  <c r="G795" i="18" s="1"/>
  <c r="C789" i="18"/>
  <c r="C795" i="18" s="1"/>
  <c r="D788" i="18"/>
  <c r="G787" i="18"/>
  <c r="C787" i="18"/>
  <c r="G786" i="18"/>
  <c r="C786" i="18"/>
  <c r="C784" i="18"/>
  <c r="F782" i="18"/>
  <c r="C782" i="18"/>
  <c r="H779" i="18"/>
  <c r="H784" i="18" s="1"/>
  <c r="G779" i="18"/>
  <c r="G784" i="18" s="1"/>
  <c r="F779" i="18"/>
  <c r="F784" i="18" s="1"/>
  <c r="D778" i="18"/>
  <c r="E778" i="18" s="1"/>
  <c r="D777" i="18"/>
  <c r="E777" i="18" s="1"/>
  <c r="D776" i="18"/>
  <c r="E776" i="18" s="1"/>
  <c r="D775" i="18"/>
  <c r="E775" i="18" s="1"/>
  <c r="H774" i="18"/>
  <c r="H783" i="18" s="1"/>
  <c r="G774" i="18"/>
  <c r="G783" i="18" s="1"/>
  <c r="F774" i="18"/>
  <c r="F783" i="18" s="1"/>
  <c r="C774" i="18"/>
  <c r="D773" i="18"/>
  <c r="E773" i="18" s="1"/>
  <c r="H772" i="18"/>
  <c r="G772" i="18"/>
  <c r="G782" i="18" s="1"/>
  <c r="D771" i="18"/>
  <c r="E771" i="18" s="1"/>
  <c r="H768" i="18"/>
  <c r="C768" i="18"/>
  <c r="F766" i="18"/>
  <c r="F763" i="18"/>
  <c r="H762" i="18"/>
  <c r="H767" i="18" s="1"/>
  <c r="C762" i="18"/>
  <c r="C767" i="18" s="1"/>
  <c r="H761" i="18"/>
  <c r="H766" i="18" s="1"/>
  <c r="G761" i="18"/>
  <c r="G763" i="18" s="1"/>
  <c r="C761" i="18"/>
  <c r="H759" i="18"/>
  <c r="G758" i="18"/>
  <c r="D758" i="18" s="1"/>
  <c r="F758" i="18"/>
  <c r="D757" i="18"/>
  <c r="E757" i="18" s="1"/>
  <c r="E756" i="18"/>
  <c r="D755" i="18"/>
  <c r="E755" i="18" s="1"/>
  <c r="D754" i="18"/>
  <c r="E754" i="18" s="1"/>
  <c r="G753" i="18"/>
  <c r="F753" i="18"/>
  <c r="F767" i="18" s="1"/>
  <c r="D752" i="18"/>
  <c r="E752" i="18" s="1"/>
  <c r="D751" i="18"/>
  <c r="E751" i="18" s="1"/>
  <c r="G750" i="18"/>
  <c r="C750" i="18"/>
  <c r="C759" i="18" s="1"/>
  <c r="D749" i="18"/>
  <c r="E749" i="18" s="1"/>
  <c r="H745" i="18"/>
  <c r="C745" i="18"/>
  <c r="H744" i="18"/>
  <c r="C744" i="18"/>
  <c r="H743" i="18"/>
  <c r="F743" i="18"/>
  <c r="H741" i="18"/>
  <c r="G740" i="18"/>
  <c r="D740" i="18" s="1"/>
  <c r="F740" i="18"/>
  <c r="F745" i="18" s="1"/>
  <c r="D739" i="18"/>
  <c r="E739" i="18" s="1"/>
  <c r="D738" i="18"/>
  <c r="E738" i="18" s="1"/>
  <c r="D737" i="18"/>
  <c r="E737" i="18" s="1"/>
  <c r="G736" i="18"/>
  <c r="F736" i="18"/>
  <c r="D735" i="18"/>
  <c r="G734" i="18"/>
  <c r="G743" i="18" s="1"/>
  <c r="C734" i="18"/>
  <c r="C743" i="18" s="1"/>
  <c r="D733" i="18"/>
  <c r="E733" i="18" s="1"/>
  <c r="H730" i="18"/>
  <c r="C730" i="18"/>
  <c r="H729" i="18"/>
  <c r="C729" i="18"/>
  <c r="H728" i="18"/>
  <c r="F728" i="18"/>
  <c r="H726" i="18"/>
  <c r="G725" i="18"/>
  <c r="D725" i="18" s="1"/>
  <c r="F725" i="18"/>
  <c r="F730" i="18" s="1"/>
  <c r="D724" i="18"/>
  <c r="D723" i="18"/>
  <c r="E723" i="18" s="1"/>
  <c r="D722" i="18"/>
  <c r="E722" i="18" s="1"/>
  <c r="D721" i="18"/>
  <c r="E721" i="18" s="1"/>
  <c r="G720" i="18"/>
  <c r="F720" i="18"/>
  <c r="F729" i="18" s="1"/>
  <c r="D719" i="18"/>
  <c r="E719" i="18" s="1"/>
  <c r="D718" i="18"/>
  <c r="E718" i="18" s="1"/>
  <c r="D717" i="18"/>
  <c r="E717" i="18" s="1"/>
  <c r="G716" i="18"/>
  <c r="D716" i="18" s="1"/>
  <c r="D715" i="18"/>
  <c r="E715" i="18" s="1"/>
  <c r="G714" i="18"/>
  <c r="C714" i="18"/>
  <c r="H711" i="18"/>
  <c r="C711" i="18"/>
  <c r="H710" i="18"/>
  <c r="F710" i="18"/>
  <c r="C710" i="18"/>
  <c r="H709" i="18"/>
  <c r="F709" i="18"/>
  <c r="H707" i="18"/>
  <c r="G706" i="18"/>
  <c r="D706" i="18" s="1"/>
  <c r="F706" i="18"/>
  <c r="G705" i="18"/>
  <c r="G704" i="18"/>
  <c r="D704" i="18" s="1"/>
  <c r="E704" i="18" s="1"/>
  <c r="G703" i="18"/>
  <c r="D703" i="18" s="1"/>
  <c r="E703" i="18" s="1"/>
  <c r="G702" i="18"/>
  <c r="D702" i="18" s="1"/>
  <c r="D701" i="18"/>
  <c r="E701" i="18" s="1"/>
  <c r="D700" i="18"/>
  <c r="E700" i="18" s="1"/>
  <c r="G699" i="18"/>
  <c r="C699" i="18"/>
  <c r="G698" i="18"/>
  <c r="C698" i="18"/>
  <c r="G697" i="18"/>
  <c r="C697" i="18"/>
  <c r="G694" i="18"/>
  <c r="F694" i="18"/>
  <c r="F693" i="18"/>
  <c r="C693" i="18"/>
  <c r="G692" i="18"/>
  <c r="F692" i="18"/>
  <c r="C692" i="18"/>
  <c r="F690" i="18"/>
  <c r="H689" i="18"/>
  <c r="C689" i="18"/>
  <c r="C690" i="18" s="1"/>
  <c r="H688" i="18"/>
  <c r="H687" i="18"/>
  <c r="G687" i="18"/>
  <c r="G690" i="18" s="1"/>
  <c r="H686" i="18"/>
  <c r="H685" i="18"/>
  <c r="D685" i="18" s="1"/>
  <c r="E685" i="18" s="1"/>
  <c r="D684" i="18"/>
  <c r="E684" i="18" s="1"/>
  <c r="H683" i="18"/>
  <c r="F679" i="18"/>
  <c r="C679" i="18"/>
  <c r="F678" i="18"/>
  <c r="H677" i="18"/>
  <c r="F677" i="18"/>
  <c r="C677" i="18"/>
  <c r="F675" i="18"/>
  <c r="H674" i="18"/>
  <c r="G674" i="18"/>
  <c r="G679" i="18" s="1"/>
  <c r="D673" i="18"/>
  <c r="D672" i="18"/>
  <c r="E672" i="18" s="1"/>
  <c r="H671" i="18"/>
  <c r="G671" i="18"/>
  <c r="G678" i="18" s="1"/>
  <c r="C671" i="18"/>
  <c r="D670" i="18"/>
  <c r="E670" i="18" s="1"/>
  <c r="D669" i="18"/>
  <c r="E669" i="18" s="1"/>
  <c r="G668" i="18"/>
  <c r="D667" i="18"/>
  <c r="H663" i="18"/>
  <c r="G663" i="18"/>
  <c r="F663" i="18"/>
  <c r="C662" i="18"/>
  <c r="D662" i="18" s="1"/>
  <c r="H660" i="18"/>
  <c r="G660" i="18"/>
  <c r="F660" i="18"/>
  <c r="C659" i="18"/>
  <c r="D658" i="18"/>
  <c r="E658" i="18" s="1"/>
  <c r="D657" i="18"/>
  <c r="E657" i="18" s="1"/>
  <c r="D656" i="18"/>
  <c r="E656" i="18" s="1"/>
  <c r="D655" i="18"/>
  <c r="E655" i="18" s="1"/>
  <c r="D654" i="18"/>
  <c r="E654" i="18" s="1"/>
  <c r="H650" i="18"/>
  <c r="F650" i="18"/>
  <c r="H649" i="18"/>
  <c r="G649" i="18"/>
  <c r="F649" i="18"/>
  <c r="C649" i="18"/>
  <c r="H647" i="18"/>
  <c r="F647" i="18"/>
  <c r="C647" i="18"/>
  <c r="H643" i="18"/>
  <c r="F643" i="18"/>
  <c r="G642" i="18"/>
  <c r="C642" i="18"/>
  <c r="D641" i="18"/>
  <c r="E641" i="18" s="1"/>
  <c r="G640" i="18"/>
  <c r="C640" i="18"/>
  <c r="G639" i="18"/>
  <c r="F637" i="18"/>
  <c r="G636" i="18"/>
  <c r="D635" i="18"/>
  <c r="E635" i="18" s="1"/>
  <c r="H634" i="18"/>
  <c r="H648" i="18" s="1"/>
  <c r="G634" i="18"/>
  <c r="C634" i="18"/>
  <c r="G633" i="18"/>
  <c r="D633" i="18" s="1"/>
  <c r="E633" i="18" s="1"/>
  <c r="D632" i="18"/>
  <c r="E632" i="18" s="1"/>
  <c r="G630" i="18"/>
  <c r="C630" i="18"/>
  <c r="D629" i="18"/>
  <c r="E629" i="18" s="1"/>
  <c r="D628" i="18"/>
  <c r="E628" i="18" s="1"/>
  <c r="H625" i="18"/>
  <c r="F625" i="18"/>
  <c r="C625" i="18"/>
  <c r="D624" i="18"/>
  <c r="E624" i="18" s="1"/>
  <c r="D623" i="18"/>
  <c r="G622" i="18"/>
  <c r="D622" i="18" s="1"/>
  <c r="D621" i="18"/>
  <c r="D620" i="18"/>
  <c r="E620" i="18" s="1"/>
  <c r="H615" i="18"/>
  <c r="G615" i="18"/>
  <c r="F615" i="18"/>
  <c r="H614" i="18"/>
  <c r="G614" i="18"/>
  <c r="F614" i="18"/>
  <c r="H613" i="18"/>
  <c r="G613" i="18"/>
  <c r="F613" i="18"/>
  <c r="C612" i="18"/>
  <c r="C615" i="18" s="1"/>
  <c r="D611" i="18"/>
  <c r="E611" i="18" s="1"/>
  <c r="E610" i="18"/>
  <c r="C609" i="18"/>
  <c r="D609" i="18" s="1"/>
  <c r="E609" i="18" s="1"/>
  <c r="C608" i="18"/>
  <c r="D607" i="18"/>
  <c r="H604" i="18"/>
  <c r="G604" i="18"/>
  <c r="F604" i="18"/>
  <c r="C604" i="18"/>
  <c r="H603" i="18"/>
  <c r="G603" i="18"/>
  <c r="F603" i="18"/>
  <c r="H602" i="18"/>
  <c r="F602" i="18"/>
  <c r="H601" i="18"/>
  <c r="G601" i="18"/>
  <c r="F601" i="18"/>
  <c r="H600" i="18"/>
  <c r="G600" i="18"/>
  <c r="F600" i="18"/>
  <c r="D596" i="18"/>
  <c r="E596" i="18" s="1"/>
  <c r="D594" i="18"/>
  <c r="E594" i="18" s="1"/>
  <c r="H592" i="18"/>
  <c r="G592" i="18"/>
  <c r="F592" i="18"/>
  <c r="C592" i="18"/>
  <c r="D591" i="18"/>
  <c r="E591" i="18" s="1"/>
  <c r="D590" i="18"/>
  <c r="E590" i="18" s="1"/>
  <c r="H587" i="18"/>
  <c r="G587" i="18"/>
  <c r="F587" i="18"/>
  <c r="C587" i="18"/>
  <c r="D586" i="18"/>
  <c r="E586" i="18" s="1"/>
  <c r="D585" i="18"/>
  <c r="E585" i="18" s="1"/>
  <c r="D584" i="18"/>
  <c r="E584" i="18" s="1"/>
  <c r="H582" i="18"/>
  <c r="G582" i="18"/>
  <c r="F582" i="18"/>
  <c r="D581" i="18"/>
  <c r="E581" i="18" s="1"/>
  <c r="C580" i="18"/>
  <c r="D580" i="18" s="1"/>
  <c r="E580" i="18" s="1"/>
  <c r="D579" i="18"/>
  <c r="E579" i="18" s="1"/>
  <c r="D578" i="18"/>
  <c r="E578" i="18" s="1"/>
  <c r="D577" i="18"/>
  <c r="E577" i="18" s="1"/>
  <c r="C576" i="18"/>
  <c r="D576" i="18" s="1"/>
  <c r="E576" i="18" s="1"/>
  <c r="C575" i="18"/>
  <c r="H573" i="18"/>
  <c r="F573" i="18"/>
  <c r="D572" i="18"/>
  <c r="E572" i="18" s="1"/>
  <c r="G571" i="18"/>
  <c r="G602" i="18" s="1"/>
  <c r="C571" i="18"/>
  <c r="D570" i="18"/>
  <c r="E570" i="18" s="1"/>
  <c r="C569" i="18"/>
  <c r="D569" i="18" s="1"/>
  <c r="E569" i="18" s="1"/>
  <c r="D568" i="18"/>
  <c r="H566" i="18"/>
  <c r="G566" i="18"/>
  <c r="F566" i="18"/>
  <c r="D565" i="18"/>
  <c r="E565" i="18" s="1"/>
  <c r="D564" i="18"/>
  <c r="E564" i="18" s="1"/>
  <c r="C563" i="18"/>
  <c r="H561" i="18"/>
  <c r="G561" i="18"/>
  <c r="F561" i="18"/>
  <c r="D560" i="18"/>
  <c r="E560" i="18" s="1"/>
  <c r="C559" i="18"/>
  <c r="C603" i="18" s="1"/>
  <c r="D558" i="18"/>
  <c r="E558" i="18" s="1"/>
  <c r="D557" i="18"/>
  <c r="E557" i="18" s="1"/>
  <c r="D556" i="18"/>
  <c r="H545" i="18"/>
  <c r="F545" i="18"/>
  <c r="G544" i="18"/>
  <c r="C544" i="18"/>
  <c r="G543" i="18"/>
  <c r="C543" i="18"/>
  <c r="H541" i="18"/>
  <c r="F541" i="18"/>
  <c r="D540" i="18"/>
  <c r="E540" i="18" s="1"/>
  <c r="G539" i="18"/>
  <c r="G541" i="18" s="1"/>
  <c r="C539" i="18"/>
  <c r="C541" i="18" s="1"/>
  <c r="H537" i="18"/>
  <c r="F537" i="18"/>
  <c r="D536" i="18"/>
  <c r="E536" i="18" s="1"/>
  <c r="G535" i="18"/>
  <c r="C535" i="18"/>
  <c r="D534" i="18"/>
  <c r="E534" i="18" s="1"/>
  <c r="H532" i="18"/>
  <c r="G532" i="18"/>
  <c r="F532" i="18"/>
  <c r="D532" i="18"/>
  <c r="C532" i="18"/>
  <c r="E531" i="18"/>
  <c r="E530" i="18"/>
  <c r="E529" i="18"/>
  <c r="H523" i="18"/>
  <c r="H527" i="18" s="1"/>
  <c r="F523" i="18"/>
  <c r="F527" i="18" s="1"/>
  <c r="G522" i="18"/>
  <c r="D522" i="18" s="1"/>
  <c r="E522" i="18" s="1"/>
  <c r="G521" i="18"/>
  <c r="C521" i="18"/>
  <c r="C523" i="18" s="1"/>
  <c r="C527" i="18" s="1"/>
  <c r="G520" i="18"/>
  <c r="D520" i="18" s="1"/>
  <c r="H519" i="18"/>
  <c r="F519" i="18"/>
  <c r="D518" i="18"/>
  <c r="E518" i="18" s="1"/>
  <c r="D517" i="18"/>
  <c r="E517" i="18" s="1"/>
  <c r="C516" i="18"/>
  <c r="D516" i="18" s="1"/>
  <c r="E516" i="18" s="1"/>
  <c r="G515" i="18"/>
  <c r="D515" i="18" s="1"/>
  <c r="E515" i="18" s="1"/>
  <c r="C514" i="18"/>
  <c r="D514" i="18" s="1"/>
  <c r="E514" i="18" s="1"/>
  <c r="G513" i="18"/>
  <c r="D512" i="18"/>
  <c r="E512" i="18" s="1"/>
  <c r="D511" i="18"/>
  <c r="E511" i="18" s="1"/>
  <c r="D510" i="18"/>
  <c r="E510" i="18" s="1"/>
  <c r="H508" i="18"/>
  <c r="H552" i="18" s="1"/>
  <c r="G508" i="18"/>
  <c r="F508" i="18"/>
  <c r="F552" i="18" s="1"/>
  <c r="C508" i="18"/>
  <c r="C552" i="18" s="1"/>
  <c r="F506" i="18"/>
  <c r="F550" i="18" s="1"/>
  <c r="H501" i="18"/>
  <c r="G501" i="18"/>
  <c r="F501" i="18"/>
  <c r="C500" i="18"/>
  <c r="C501" i="18" s="1"/>
  <c r="H498" i="18"/>
  <c r="F498" i="18"/>
  <c r="D497" i="18"/>
  <c r="E497" i="18" s="1"/>
  <c r="G496" i="18"/>
  <c r="C496" i="18"/>
  <c r="C498" i="18" s="1"/>
  <c r="H493" i="18"/>
  <c r="G493" i="18"/>
  <c r="F493" i="18"/>
  <c r="C493" i="18"/>
  <c r="D492" i="18"/>
  <c r="E492" i="18" s="1"/>
  <c r="D491" i="18"/>
  <c r="H489" i="18"/>
  <c r="G489" i="18"/>
  <c r="F489" i="18"/>
  <c r="C489" i="18"/>
  <c r="D488" i="18"/>
  <c r="D487" i="18"/>
  <c r="E487" i="18" s="1"/>
  <c r="H485" i="18"/>
  <c r="G485" i="18"/>
  <c r="F485" i="18"/>
  <c r="C485" i="18"/>
  <c r="D484" i="18"/>
  <c r="E484" i="18" s="1"/>
  <c r="D483" i="18"/>
  <c r="D482" i="18"/>
  <c r="E482" i="18" s="1"/>
  <c r="H480" i="18"/>
  <c r="F480" i="18"/>
  <c r="G479" i="18"/>
  <c r="C479" i="18"/>
  <c r="G478" i="18"/>
  <c r="C478" i="18"/>
  <c r="F475" i="18"/>
  <c r="H474" i="18"/>
  <c r="G474" i="18"/>
  <c r="C474" i="18"/>
  <c r="H473" i="18"/>
  <c r="H506" i="18" s="1"/>
  <c r="H550" i="18" s="1"/>
  <c r="G473" i="18"/>
  <c r="C473" i="18"/>
  <c r="F471" i="18"/>
  <c r="D470" i="18"/>
  <c r="E470" i="18" s="1"/>
  <c r="H469" i="18"/>
  <c r="H471" i="18" s="1"/>
  <c r="G469" i="18"/>
  <c r="G471" i="18" s="1"/>
  <c r="C469" i="18"/>
  <c r="C471" i="18" s="1"/>
  <c r="D468" i="18"/>
  <c r="E468" i="18" s="1"/>
  <c r="H466" i="18"/>
  <c r="F466" i="18"/>
  <c r="G465" i="18"/>
  <c r="G466" i="18" s="1"/>
  <c r="C465" i="18"/>
  <c r="C464" i="18"/>
  <c r="H462" i="18"/>
  <c r="G462" i="18"/>
  <c r="F462" i="18"/>
  <c r="C461" i="18"/>
  <c r="H459" i="18"/>
  <c r="F459" i="18"/>
  <c r="G458" i="18"/>
  <c r="C458" i="18"/>
  <c r="G457" i="18"/>
  <c r="C457" i="18"/>
  <c r="H455" i="18"/>
  <c r="F455" i="18"/>
  <c r="G454" i="18"/>
  <c r="G455" i="18" s="1"/>
  <c r="C454" i="18"/>
  <c r="C455" i="18" s="1"/>
  <c r="D453" i="18"/>
  <c r="H451" i="18"/>
  <c r="G451" i="18"/>
  <c r="F451" i="18"/>
  <c r="E451" i="18"/>
  <c r="D451" i="18"/>
  <c r="C451" i="18"/>
  <c r="H448" i="18"/>
  <c r="G448" i="18"/>
  <c r="F448" i="18"/>
  <c r="C448" i="18"/>
  <c r="H447" i="18"/>
  <c r="G447" i="18"/>
  <c r="G446" i="18" s="1"/>
  <c r="F447" i="18"/>
  <c r="F505" i="18" s="1"/>
  <c r="C447" i="18"/>
  <c r="H445" i="18"/>
  <c r="G445" i="18"/>
  <c r="F445" i="18"/>
  <c r="C445" i="18"/>
  <c r="D444" i="18"/>
  <c r="E443" i="18"/>
  <c r="E442" i="18"/>
  <c r="D441" i="18"/>
  <c r="H439" i="18"/>
  <c r="F439" i="18"/>
  <c r="C439" i="18"/>
  <c r="G438" i="18"/>
  <c r="D438" i="18" s="1"/>
  <c r="G437" i="18"/>
  <c r="D437" i="18" s="1"/>
  <c r="E437" i="18" s="1"/>
  <c r="G436" i="18"/>
  <c r="D436" i="18" s="1"/>
  <c r="E436" i="18" s="1"/>
  <c r="D435" i="18"/>
  <c r="E435" i="18" s="1"/>
  <c r="D434" i="18"/>
  <c r="E434" i="18" s="1"/>
  <c r="D433" i="18"/>
  <c r="D432" i="18"/>
  <c r="E432" i="18" s="1"/>
  <c r="H422" i="18"/>
  <c r="F422" i="18"/>
  <c r="G421" i="18"/>
  <c r="C421" i="18"/>
  <c r="G420" i="18"/>
  <c r="D420" i="18" s="1"/>
  <c r="E420" i="18" s="1"/>
  <c r="G419" i="18"/>
  <c r="D419" i="18" s="1"/>
  <c r="E419" i="18" s="1"/>
  <c r="H417" i="18"/>
  <c r="G417" i="18"/>
  <c r="F417" i="18"/>
  <c r="C416" i="18"/>
  <c r="C415" i="18"/>
  <c r="D415" i="18" s="1"/>
  <c r="E415" i="18" s="1"/>
  <c r="H413" i="18"/>
  <c r="F413" i="18"/>
  <c r="C412" i="18"/>
  <c r="D412" i="18" s="1"/>
  <c r="E412" i="18" s="1"/>
  <c r="D411" i="18"/>
  <c r="E411" i="18" s="1"/>
  <c r="C410" i="18"/>
  <c r="D410" i="18" s="1"/>
  <c r="E410" i="18" s="1"/>
  <c r="G413" i="18"/>
  <c r="C409" i="18"/>
  <c r="H407" i="18"/>
  <c r="G407" i="18"/>
  <c r="F407" i="18"/>
  <c r="D407" i="18"/>
  <c r="C407" i="18"/>
  <c r="H406" i="18"/>
  <c r="G406" i="18"/>
  <c r="F406" i="18"/>
  <c r="C406" i="18"/>
  <c r="F405" i="18"/>
  <c r="H404" i="18"/>
  <c r="F404" i="18"/>
  <c r="F403" i="18"/>
  <c r="F401" i="18"/>
  <c r="H400" i="18"/>
  <c r="H405" i="18" s="1"/>
  <c r="G400" i="18"/>
  <c r="C400" i="18"/>
  <c r="H399" i="18"/>
  <c r="G399" i="18"/>
  <c r="C399" i="18"/>
  <c r="E398" i="18"/>
  <c r="G397" i="18"/>
  <c r="C397" i="18"/>
  <c r="G396" i="18"/>
  <c r="G404" i="18" s="1"/>
  <c r="C396" i="18"/>
  <c r="D395" i="18"/>
  <c r="E395" i="18" s="1"/>
  <c r="D394" i="18"/>
  <c r="E394" i="18" s="1"/>
  <c r="H393" i="18"/>
  <c r="G393" i="18"/>
  <c r="C393" i="18"/>
  <c r="E391" i="18"/>
  <c r="E407" i="18" s="1"/>
  <c r="D390" i="18"/>
  <c r="E390" i="18" s="1"/>
  <c r="E406" i="18" s="1"/>
  <c r="E389" i="18"/>
  <c r="D388" i="18"/>
  <c r="E388" i="18" s="1"/>
  <c r="H386" i="18"/>
  <c r="F386" i="18"/>
  <c r="C386" i="18"/>
  <c r="H385" i="18"/>
  <c r="G385" i="18"/>
  <c r="F385" i="18"/>
  <c r="C385" i="18"/>
  <c r="H384" i="18"/>
  <c r="F384" i="18"/>
  <c r="D383" i="18"/>
  <c r="E383" i="18" s="1"/>
  <c r="H382" i="18"/>
  <c r="F382" i="18"/>
  <c r="H380" i="18"/>
  <c r="F380" i="18"/>
  <c r="G379" i="18"/>
  <c r="D379" i="18" s="1"/>
  <c r="D378" i="18"/>
  <c r="E378" i="18" s="1"/>
  <c r="D377" i="18"/>
  <c r="E377" i="18" s="1"/>
  <c r="G376" i="18"/>
  <c r="C376" i="18"/>
  <c r="D375" i="18"/>
  <c r="G374" i="18"/>
  <c r="G382" i="18" s="1"/>
  <c r="C374" i="18"/>
  <c r="D373" i="18"/>
  <c r="E373" i="18" s="1"/>
  <c r="H367" i="18"/>
  <c r="F367" i="18"/>
  <c r="F371" i="18" s="1"/>
  <c r="G366" i="18"/>
  <c r="D366" i="18" s="1"/>
  <c r="E366" i="18" s="1"/>
  <c r="G365" i="18"/>
  <c r="C365" i="18"/>
  <c r="D364" i="18"/>
  <c r="E364" i="18" s="1"/>
  <c r="H363" i="18"/>
  <c r="H370" i="18" s="1"/>
  <c r="F363" i="18"/>
  <c r="C363" i="18"/>
  <c r="C370" i="18" s="1"/>
  <c r="D362" i="18"/>
  <c r="E362" i="18" s="1"/>
  <c r="D361" i="18"/>
  <c r="E361" i="18" s="1"/>
  <c r="G360" i="18"/>
  <c r="G363" i="18" s="1"/>
  <c r="G370" i="18" s="1"/>
  <c r="D359" i="18"/>
  <c r="E359" i="18" s="1"/>
  <c r="D358" i="18"/>
  <c r="E358" i="18" s="1"/>
  <c r="D357" i="18"/>
  <c r="E357" i="18" s="1"/>
  <c r="D356" i="18"/>
  <c r="E356" i="18" s="1"/>
  <c r="D355" i="18"/>
  <c r="H353" i="18"/>
  <c r="F353" i="18"/>
  <c r="F351" i="18"/>
  <c r="H347" i="18"/>
  <c r="G347" i="18"/>
  <c r="F347" i="18"/>
  <c r="D346" i="18"/>
  <c r="E346" i="18" s="1"/>
  <c r="C345" i="18"/>
  <c r="C347" i="18" s="1"/>
  <c r="H343" i="18"/>
  <c r="G343" i="18"/>
  <c r="F343" i="18"/>
  <c r="C343" i="18"/>
  <c r="D342" i="18"/>
  <c r="D343" i="18" s="1"/>
  <c r="H340" i="18"/>
  <c r="G340" i="18"/>
  <c r="F340" i="18"/>
  <c r="C340" i="18"/>
  <c r="D339" i="18"/>
  <c r="H337" i="18"/>
  <c r="G337" i="18"/>
  <c r="F337" i="18"/>
  <c r="C337" i="18"/>
  <c r="D336" i="18"/>
  <c r="D337" i="18" s="1"/>
  <c r="H333" i="18"/>
  <c r="F333" i="18"/>
  <c r="E332" i="18"/>
  <c r="E331" i="18"/>
  <c r="G330" i="18"/>
  <c r="G333" i="18" s="1"/>
  <c r="C330" i="18"/>
  <c r="H328" i="18"/>
  <c r="F328" i="18"/>
  <c r="G327" i="18"/>
  <c r="C327" i="18"/>
  <c r="C328" i="18" s="1"/>
  <c r="D326" i="18"/>
  <c r="E326" i="18" s="1"/>
  <c r="D325" i="18"/>
  <c r="G322" i="18"/>
  <c r="F322" i="18"/>
  <c r="H321" i="18"/>
  <c r="C321" i="18"/>
  <c r="H320" i="18"/>
  <c r="C320" i="18"/>
  <c r="F318" i="18"/>
  <c r="G317" i="18"/>
  <c r="C317" i="18"/>
  <c r="D316" i="18"/>
  <c r="E316" i="18" s="1"/>
  <c r="H315" i="18"/>
  <c r="G315" i="18"/>
  <c r="G318" i="18" s="1"/>
  <c r="C315" i="18"/>
  <c r="H314" i="18"/>
  <c r="C314" i="18"/>
  <c r="D313" i="18"/>
  <c r="E313" i="18" s="1"/>
  <c r="H311" i="18"/>
  <c r="F311" i="18"/>
  <c r="G310" i="18"/>
  <c r="G311" i="18" s="1"/>
  <c r="C310" i="18"/>
  <c r="C311" i="18" s="1"/>
  <c r="D309" i="18"/>
  <c r="E309" i="18" s="1"/>
  <c r="D308" i="18"/>
  <c r="E308" i="18" s="1"/>
  <c r="H306" i="18"/>
  <c r="F306" i="18"/>
  <c r="D305" i="18"/>
  <c r="E305" i="18" s="1"/>
  <c r="G304" i="18"/>
  <c r="C304" i="18"/>
  <c r="C306" i="18" s="1"/>
  <c r="H302" i="18"/>
  <c r="G302" i="18"/>
  <c r="F302" i="18"/>
  <c r="C301" i="18"/>
  <c r="C302" i="18" s="1"/>
  <c r="G299" i="18"/>
  <c r="F299" i="18"/>
  <c r="H298" i="18"/>
  <c r="C298" i="18"/>
  <c r="H297" i="18"/>
  <c r="C297" i="18"/>
  <c r="H295" i="18"/>
  <c r="G295" i="18"/>
  <c r="F295" i="18"/>
  <c r="C295" i="18"/>
  <c r="D294" i="18"/>
  <c r="E294" i="18" s="1"/>
  <c r="D293" i="18"/>
  <c r="E293" i="18" s="1"/>
  <c r="H291" i="18"/>
  <c r="G291" i="18"/>
  <c r="F291" i="18"/>
  <c r="D291" i="18"/>
  <c r="C291" i="18"/>
  <c r="E290" i="18"/>
  <c r="E291" i="18" s="1"/>
  <c r="H288" i="18"/>
  <c r="G288" i="18"/>
  <c r="F288" i="18"/>
  <c r="F352" i="18" s="1"/>
  <c r="C288" i="18"/>
  <c r="H287" i="18"/>
  <c r="H286" i="18" s="1"/>
  <c r="G287" i="18"/>
  <c r="G286" i="18" s="1"/>
  <c r="F287" i="18"/>
  <c r="F350" i="18" s="1"/>
  <c r="C287" i="18"/>
  <c r="C286" i="18" s="1"/>
  <c r="H285" i="18"/>
  <c r="G285" i="18"/>
  <c r="F285" i="18"/>
  <c r="C285" i="18"/>
  <c r="D284" i="18"/>
  <c r="E284" i="18" s="1"/>
  <c r="D283" i="18"/>
  <c r="E283" i="18" s="1"/>
  <c r="D282" i="18"/>
  <c r="E282" i="18" s="1"/>
  <c r="D281" i="18"/>
  <c r="E281" i="18" s="1"/>
  <c r="D280" i="18"/>
  <c r="E280" i="18" s="1"/>
  <c r="D279" i="18"/>
  <c r="E279" i="18" s="1"/>
  <c r="D278" i="18"/>
  <c r="E278" i="18" s="1"/>
  <c r="D277" i="18"/>
  <c r="D276" i="18"/>
  <c r="E276" i="18" s="1"/>
  <c r="H274" i="18"/>
  <c r="G274" i="18"/>
  <c r="F274" i="18"/>
  <c r="D273" i="18"/>
  <c r="E273" i="18" s="1"/>
  <c r="D272" i="18"/>
  <c r="E272" i="18" s="1"/>
  <c r="C271" i="18"/>
  <c r="E270" i="18"/>
  <c r="D269" i="18"/>
  <c r="E269" i="18" s="1"/>
  <c r="D268" i="18"/>
  <c r="E268" i="18" s="1"/>
  <c r="D267" i="18"/>
  <c r="E267" i="18" s="1"/>
  <c r="F261" i="18"/>
  <c r="H257" i="18"/>
  <c r="G257" i="18"/>
  <c r="F257" i="18"/>
  <c r="C257" i="18"/>
  <c r="D256" i="18"/>
  <c r="E256" i="18" s="1"/>
  <c r="I256" i="18" s="1"/>
  <c r="D255" i="18"/>
  <c r="F253" i="18"/>
  <c r="F264" i="18" s="1"/>
  <c r="H252" i="18"/>
  <c r="H263" i="18" s="1"/>
  <c r="F252" i="18"/>
  <c r="F263" i="18" s="1"/>
  <c r="C252" i="18"/>
  <c r="C263" i="18" s="1"/>
  <c r="F251" i="18"/>
  <c r="F262" i="18" s="1"/>
  <c r="F250" i="18"/>
  <c r="F260" i="18" s="1"/>
  <c r="F248" i="18"/>
  <c r="H247" i="18"/>
  <c r="H253" i="18" s="1"/>
  <c r="H264" i="18" s="1"/>
  <c r="G247" i="18"/>
  <c r="G253" i="18" s="1"/>
  <c r="G264" i="18" s="1"/>
  <c r="C247" i="18"/>
  <c r="C253" i="18" s="1"/>
  <c r="C264" i="18" s="1"/>
  <c r="D246" i="18"/>
  <c r="E246" i="18" s="1"/>
  <c r="G245" i="18"/>
  <c r="D245" i="18" s="1"/>
  <c r="E245" i="18" s="1"/>
  <c r="D244" i="18"/>
  <c r="E244" i="18" s="1"/>
  <c r="H243" i="18"/>
  <c r="H251" i="18" s="1"/>
  <c r="G243" i="18"/>
  <c r="C243" i="18"/>
  <c r="G242" i="18"/>
  <c r="C242" i="18"/>
  <c r="C241" i="18"/>
  <c r="D240" i="18"/>
  <c r="E240" i="18" s="1"/>
  <c r="G239" i="18"/>
  <c r="C239" i="18"/>
  <c r="D238" i="18"/>
  <c r="E238" i="18" s="1"/>
  <c r="G237" i="18"/>
  <c r="C237" i="18"/>
  <c r="H236" i="18"/>
  <c r="C236" i="18"/>
  <c r="H235" i="18"/>
  <c r="H261" i="18" s="1"/>
  <c r="G235" i="18"/>
  <c r="C235" i="18"/>
  <c r="G234" i="18"/>
  <c r="C234" i="18"/>
  <c r="D233" i="18"/>
  <c r="D232" i="18"/>
  <c r="E232" i="18" s="1"/>
  <c r="G230" i="18"/>
  <c r="F230" i="18"/>
  <c r="C230" i="18"/>
  <c r="D229" i="18"/>
  <c r="E229" i="18" s="1"/>
  <c r="D228" i="18"/>
  <c r="E228" i="18" s="1"/>
  <c r="H227" i="18"/>
  <c r="D227" i="18" s="1"/>
  <c r="E227" i="18" s="1"/>
  <c r="H226" i="18"/>
  <c r="D226" i="18" s="1"/>
  <c r="C222" i="18"/>
  <c r="H216" i="18"/>
  <c r="F216" i="18"/>
  <c r="F223" i="18" s="1"/>
  <c r="D215" i="18"/>
  <c r="E215" i="18" s="1"/>
  <c r="D214" i="18"/>
  <c r="E214" i="18" s="1"/>
  <c r="D213" i="18"/>
  <c r="E213" i="18" s="1"/>
  <c r="G212" i="18"/>
  <c r="C212" i="18"/>
  <c r="G211" i="18"/>
  <c r="D211" i="18" s="1"/>
  <c r="E211" i="18" s="1"/>
  <c r="D210" i="18"/>
  <c r="E210" i="18" s="1"/>
  <c r="C209" i="18"/>
  <c r="D209" i="18" s="1"/>
  <c r="E209" i="18" s="1"/>
  <c r="D208" i="18"/>
  <c r="E208" i="18" s="1"/>
  <c r="D207" i="18"/>
  <c r="E207" i="18" s="1"/>
  <c r="D206" i="18"/>
  <c r="E206" i="18" s="1"/>
  <c r="D205" i="18"/>
  <c r="E205" i="18" s="1"/>
  <c r="H202" i="18"/>
  <c r="F202" i="18"/>
  <c r="G201" i="18"/>
  <c r="C201" i="18"/>
  <c r="D200" i="18"/>
  <c r="E200" i="18" s="1"/>
  <c r="D199" i="18"/>
  <c r="E199" i="18" s="1"/>
  <c r="G198" i="18"/>
  <c r="G202" i="18" s="1"/>
  <c r="C198" i="18"/>
  <c r="C202" i="18" s="1"/>
  <c r="H195" i="18"/>
  <c r="G195" i="18"/>
  <c r="F195" i="18"/>
  <c r="C195" i="18"/>
  <c r="D194" i="18"/>
  <c r="D195" i="18" s="1"/>
  <c r="H192" i="18"/>
  <c r="F192" i="18"/>
  <c r="H191" i="18"/>
  <c r="F191" i="18"/>
  <c r="H188" i="18"/>
  <c r="G188" i="18"/>
  <c r="F188" i="18"/>
  <c r="C188" i="18"/>
  <c r="D187" i="18"/>
  <c r="E187" i="18" s="1"/>
  <c r="D186" i="18"/>
  <c r="E186" i="18" s="1"/>
  <c r="D185" i="18"/>
  <c r="E185" i="18" s="1"/>
  <c r="D184" i="18"/>
  <c r="H182" i="18"/>
  <c r="H189" i="18" s="1"/>
  <c r="F182" i="18"/>
  <c r="G181" i="18"/>
  <c r="C181" i="18"/>
  <c r="D180" i="18"/>
  <c r="E180" i="18" s="1"/>
  <c r="G179" i="18"/>
  <c r="C179" i="18"/>
  <c r="G178" i="18"/>
  <c r="D178" i="18" s="1"/>
  <c r="D177" i="18"/>
  <c r="E177" i="18" s="1"/>
  <c r="G176" i="18"/>
  <c r="G191" i="18" s="1"/>
  <c r="C176" i="18"/>
  <c r="C191" i="18" s="1"/>
  <c r="D175" i="18"/>
  <c r="E175" i="18" s="1"/>
  <c r="D174" i="18"/>
  <c r="E174" i="18" s="1"/>
  <c r="D173" i="18"/>
  <c r="E173" i="18" s="1"/>
  <c r="D172" i="18"/>
  <c r="E172" i="18" s="1"/>
  <c r="D171" i="18"/>
  <c r="E171" i="18" s="1"/>
  <c r="D170" i="18"/>
  <c r="E170" i="18" s="1"/>
  <c r="D169" i="18"/>
  <c r="E169" i="18" s="1"/>
  <c r="D168" i="18"/>
  <c r="E168" i="18" s="1"/>
  <c r="D167" i="18"/>
  <c r="E167" i="18" s="1"/>
  <c r="D166" i="18"/>
  <c r="E166" i="18" s="1"/>
  <c r="H164" i="18"/>
  <c r="F164" i="18"/>
  <c r="H163" i="18"/>
  <c r="F163" i="18"/>
  <c r="H160" i="18"/>
  <c r="G160" i="18"/>
  <c r="F160" i="18"/>
  <c r="C160" i="18"/>
  <c r="D159" i="18"/>
  <c r="D158" i="18"/>
  <c r="E158" i="18" s="1"/>
  <c r="H156" i="18"/>
  <c r="F156" i="18"/>
  <c r="C156" i="18"/>
  <c r="D155" i="18"/>
  <c r="E155" i="18" s="1"/>
  <c r="G154" i="18"/>
  <c r="G156" i="18" s="1"/>
  <c r="H152" i="18"/>
  <c r="F152" i="18"/>
  <c r="G151" i="18"/>
  <c r="G152" i="18" s="1"/>
  <c r="C151" i="18"/>
  <c r="D150" i="18"/>
  <c r="E150" i="18" s="1"/>
  <c r="H148" i="18"/>
  <c r="F148" i="18"/>
  <c r="G147" i="18"/>
  <c r="G148" i="18" s="1"/>
  <c r="C147" i="18"/>
  <c r="C148" i="18" s="1"/>
  <c r="D146" i="18"/>
  <c r="E146" i="18" s="1"/>
  <c r="D145" i="18"/>
  <c r="H142" i="18"/>
  <c r="G142" i="18"/>
  <c r="F142" i="18"/>
  <c r="C142" i="18"/>
  <c r="D141" i="18"/>
  <c r="E141" i="18" s="1"/>
  <c r="D140" i="18"/>
  <c r="E140" i="18" s="1"/>
  <c r="D139" i="18"/>
  <c r="H137" i="18"/>
  <c r="G137" i="18"/>
  <c r="C137" i="18"/>
  <c r="D136" i="18"/>
  <c r="E136" i="18" s="1"/>
  <c r="D135" i="18"/>
  <c r="H133" i="18"/>
  <c r="G133" i="18"/>
  <c r="F133" i="18"/>
  <c r="C133" i="18"/>
  <c r="D132" i="18"/>
  <c r="E132" i="18" s="1"/>
  <c r="D131" i="18"/>
  <c r="H129" i="18"/>
  <c r="F129" i="18"/>
  <c r="G128" i="18"/>
  <c r="G129" i="18" s="1"/>
  <c r="C128" i="18"/>
  <c r="C127" i="18"/>
  <c r="C163" i="18" s="1"/>
  <c r="H125" i="18"/>
  <c r="G125" i="18"/>
  <c r="F125" i="18"/>
  <c r="C125" i="18"/>
  <c r="D124" i="18"/>
  <c r="D125" i="18" s="1"/>
  <c r="H122" i="18"/>
  <c r="G122" i="18"/>
  <c r="F122" i="18"/>
  <c r="C122" i="18"/>
  <c r="D121" i="18"/>
  <c r="E121" i="18" s="1"/>
  <c r="D120" i="18"/>
  <c r="H118" i="18"/>
  <c r="F118" i="18"/>
  <c r="C118" i="18"/>
  <c r="D117" i="18"/>
  <c r="E117" i="18" s="1"/>
  <c r="G116" i="18"/>
  <c r="G118" i="18" s="1"/>
  <c r="H114" i="18"/>
  <c r="G114" i="18"/>
  <c r="F114" i="18"/>
  <c r="C114" i="18"/>
  <c r="D113" i="18"/>
  <c r="E113" i="18" s="1"/>
  <c r="D112" i="18"/>
  <c r="H110" i="18"/>
  <c r="G110" i="18"/>
  <c r="F110" i="18"/>
  <c r="C109" i="18"/>
  <c r="D109" i="18" s="1"/>
  <c r="E109" i="18" s="1"/>
  <c r="D108" i="18"/>
  <c r="E108" i="18" s="1"/>
  <c r="H106" i="18"/>
  <c r="G106" i="18"/>
  <c r="F106" i="18"/>
  <c r="C106" i="18"/>
  <c r="D105" i="18"/>
  <c r="E105" i="18" s="1"/>
  <c r="D104" i="18"/>
  <c r="D103" i="18"/>
  <c r="E103" i="18" s="1"/>
  <c r="H99" i="18"/>
  <c r="G99" i="18"/>
  <c r="F99" i="18"/>
  <c r="C99" i="18"/>
  <c r="D98" i="18"/>
  <c r="E98" i="18" s="1"/>
  <c r="D97" i="18"/>
  <c r="E97" i="18" s="1"/>
  <c r="D96" i="18"/>
  <c r="H94" i="18"/>
  <c r="F94" i="18"/>
  <c r="G93" i="18"/>
  <c r="G94" i="18" s="1"/>
  <c r="C93" i="18"/>
  <c r="C94" i="18" s="1"/>
  <c r="D92" i="18"/>
  <c r="H89" i="18"/>
  <c r="F89" i="18"/>
  <c r="C89" i="18"/>
  <c r="G88" i="18"/>
  <c r="D88" i="18" s="1"/>
  <c r="E88" i="18" s="1"/>
  <c r="D87" i="18"/>
  <c r="D86" i="18"/>
  <c r="E86" i="18" s="1"/>
  <c r="D85" i="18"/>
  <c r="E85" i="18" s="1"/>
  <c r="G84" i="18"/>
  <c r="D83" i="18"/>
  <c r="H79" i="18"/>
  <c r="G79" i="18"/>
  <c r="F79" i="18"/>
  <c r="C79" i="18"/>
  <c r="H74" i="18"/>
  <c r="F74" i="18"/>
  <c r="H73" i="18"/>
  <c r="F73" i="18"/>
  <c r="H72" i="18"/>
  <c r="G72" i="18"/>
  <c r="F72" i="18"/>
  <c r="C72" i="18"/>
  <c r="H69" i="18"/>
  <c r="G69" i="18"/>
  <c r="F69" i="18"/>
  <c r="C69" i="18"/>
  <c r="D68" i="18"/>
  <c r="E68" i="18" s="1"/>
  <c r="D67" i="18"/>
  <c r="E67" i="18" s="1"/>
  <c r="D66" i="18"/>
  <c r="E66" i="18" s="1"/>
  <c r="D65" i="18"/>
  <c r="E65" i="18" s="1"/>
  <c r="D64" i="18"/>
  <c r="E64" i="18" s="1"/>
  <c r="H62" i="18"/>
  <c r="F62" i="18"/>
  <c r="G61" i="18"/>
  <c r="C61" i="18"/>
  <c r="C74" i="18" s="1"/>
  <c r="G60" i="18"/>
  <c r="C60" i="18"/>
  <c r="C73" i="18" s="1"/>
  <c r="D59" i="18"/>
  <c r="E59" i="18" s="1"/>
  <c r="D58" i="18"/>
  <c r="E58" i="18" s="1"/>
  <c r="D57" i="18"/>
  <c r="E57" i="18" s="1"/>
  <c r="H55" i="18"/>
  <c r="G55" i="18"/>
  <c r="F55" i="18"/>
  <c r="C55" i="18"/>
  <c r="D54" i="18"/>
  <c r="E54" i="18" s="1"/>
  <c r="D53" i="18"/>
  <c r="E53" i="18" s="1"/>
  <c r="D52" i="18"/>
  <c r="E52" i="18" s="1"/>
  <c r="D51" i="18"/>
  <c r="D49" i="18"/>
  <c r="H46" i="18"/>
  <c r="F46" i="18"/>
  <c r="H44" i="18"/>
  <c r="F44" i="18"/>
  <c r="H43" i="18"/>
  <c r="G43" i="18"/>
  <c r="F43" i="18"/>
  <c r="H41" i="18"/>
  <c r="F41" i="18"/>
  <c r="G40" i="18"/>
  <c r="C40" i="18"/>
  <c r="D39" i="18"/>
  <c r="E39" i="18" s="1"/>
  <c r="G38" i="18"/>
  <c r="G44" i="18" s="1"/>
  <c r="C38" i="18"/>
  <c r="C44" i="18" s="1"/>
  <c r="C37" i="18"/>
  <c r="D36" i="18"/>
  <c r="E36" i="18" s="1"/>
  <c r="H34" i="18"/>
  <c r="G34" i="18"/>
  <c r="F34" i="18"/>
  <c r="C34" i="18"/>
  <c r="D33" i="18"/>
  <c r="D79" i="18" s="1"/>
  <c r="D32" i="18"/>
  <c r="D31" i="18"/>
  <c r="E31" i="18" s="1"/>
  <c r="H29" i="18"/>
  <c r="G29" i="18"/>
  <c r="F29" i="18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H1460" i="18" l="1"/>
  <c r="H1459" i="18"/>
  <c r="F1460" i="18"/>
  <c r="H1458" i="18"/>
  <c r="H1280" i="18"/>
  <c r="H1279" i="18"/>
  <c r="D1229" i="18"/>
  <c r="E1229" i="18" s="1"/>
  <c r="D1239" i="18"/>
  <c r="E1239" i="18" s="1"/>
  <c r="C1235" i="18"/>
  <c r="F1280" i="18"/>
  <c r="E989" i="18"/>
  <c r="F965" i="18"/>
  <c r="H966" i="18"/>
  <c r="C965" i="18"/>
  <c r="F967" i="18"/>
  <c r="F1074" i="18" s="1"/>
  <c r="G967" i="18"/>
  <c r="G1074" i="18" s="1"/>
  <c r="H967" i="18"/>
  <c r="H1074" i="18" s="1"/>
  <c r="F966" i="18"/>
  <c r="E884" i="18"/>
  <c r="H1450" i="18"/>
  <c r="F429" i="18"/>
  <c r="F1811" i="18" s="1"/>
  <c r="D457" i="18"/>
  <c r="E457" i="18" s="1"/>
  <c r="C648" i="18"/>
  <c r="G552" i="18"/>
  <c r="G648" i="18"/>
  <c r="H428" i="18"/>
  <c r="H1810" i="18" s="1"/>
  <c r="G553" i="18"/>
  <c r="F1307" i="18"/>
  <c r="H429" i="18"/>
  <c r="F427" i="18"/>
  <c r="D1718" i="18"/>
  <c r="E1718" i="18" s="1"/>
  <c r="D1720" i="18"/>
  <c r="E1720" i="18" s="1"/>
  <c r="D1744" i="18"/>
  <c r="E1744" i="18" s="1"/>
  <c r="F428" i="18"/>
  <c r="F1810" i="18" s="1"/>
  <c r="D222" i="18"/>
  <c r="D479" i="18"/>
  <c r="E479" i="18" s="1"/>
  <c r="D1467" i="18"/>
  <c r="E1467" i="18" s="1"/>
  <c r="H524" i="18"/>
  <c r="H727" i="18"/>
  <c r="G475" i="18"/>
  <c r="D500" i="18"/>
  <c r="D501" i="18" s="1"/>
  <c r="E592" i="18"/>
  <c r="D730" i="18"/>
  <c r="E1039" i="18"/>
  <c r="E1150" i="18"/>
  <c r="E1158" i="18" s="1"/>
  <c r="D1655" i="18"/>
  <c r="E1655" i="18" s="1"/>
  <c r="D1704" i="18"/>
  <c r="E1704" i="18" s="1"/>
  <c r="D1721" i="18"/>
  <c r="E1721" i="18" s="1"/>
  <c r="G41" i="18"/>
  <c r="D116" i="18"/>
  <c r="E116" i="18" s="1"/>
  <c r="E118" i="18" s="1"/>
  <c r="F221" i="18"/>
  <c r="C219" i="18"/>
  <c r="H219" i="18"/>
  <c r="G459" i="18"/>
  <c r="D465" i="18"/>
  <c r="E465" i="18" s="1"/>
  <c r="D698" i="18"/>
  <c r="E698" i="18" s="1"/>
  <c r="D814" i="18"/>
  <c r="D819" i="18" s="1"/>
  <c r="H937" i="18"/>
  <c r="H936" i="18" s="1"/>
  <c r="F1037" i="18"/>
  <c r="F1036" i="18" s="1"/>
  <c r="E1204" i="18"/>
  <c r="H221" i="18"/>
  <c r="F219" i="18"/>
  <c r="E288" i="18"/>
  <c r="G352" i="18"/>
  <c r="E295" i="18"/>
  <c r="F323" i="18"/>
  <c r="F348" i="18" s="1"/>
  <c r="D396" i="18"/>
  <c r="E396" i="18" s="1"/>
  <c r="E404" i="18" s="1"/>
  <c r="D400" i="18"/>
  <c r="E400" i="18" s="1"/>
  <c r="D1289" i="18"/>
  <c r="E1289" i="18" s="1"/>
  <c r="D1295" i="18"/>
  <c r="E1295" i="18" s="1"/>
  <c r="E1503" i="18"/>
  <c r="G1535" i="18"/>
  <c r="G1712" i="18"/>
  <c r="G1713" i="18" s="1"/>
  <c r="G222" i="18"/>
  <c r="H223" i="18"/>
  <c r="D885" i="18"/>
  <c r="D895" i="18" s="1"/>
  <c r="D922" i="18"/>
  <c r="E977" i="18"/>
  <c r="E978" i="18" s="1"/>
  <c r="D40" i="18"/>
  <c r="D46" i="18" s="1"/>
  <c r="F190" i="18"/>
  <c r="D360" i="18"/>
  <c r="E360" i="18" s="1"/>
  <c r="D365" i="18"/>
  <c r="E365" i="18" s="1"/>
  <c r="E367" i="18" s="1"/>
  <c r="D931" i="18"/>
  <c r="E931" i="18" s="1"/>
  <c r="E938" i="18" s="1"/>
  <c r="E992" i="18"/>
  <c r="E1005" i="18" s="1"/>
  <c r="D1087" i="18"/>
  <c r="C1091" i="18"/>
  <c r="D1123" i="18"/>
  <c r="E1123" i="18" s="1"/>
  <c r="C1142" i="18"/>
  <c r="D1136" i="18"/>
  <c r="E1136" i="18" s="1"/>
  <c r="C1324" i="18"/>
  <c r="D1563" i="18"/>
  <c r="E1563" i="18" s="1"/>
  <c r="D1605" i="18"/>
  <c r="E1605" i="18" s="1"/>
  <c r="E1611" i="18" s="1"/>
  <c r="F1792" i="18"/>
  <c r="G220" i="18"/>
  <c r="C1693" i="18"/>
  <c r="C922" i="18"/>
  <c r="F71" i="18"/>
  <c r="H71" i="18"/>
  <c r="D114" i="18"/>
  <c r="D235" i="18"/>
  <c r="E235" i="18" s="1"/>
  <c r="H248" i="18"/>
  <c r="E587" i="18"/>
  <c r="G794" i="18"/>
  <c r="G793" i="18" s="1"/>
  <c r="C828" i="18"/>
  <c r="F936" i="18"/>
  <c r="C980" i="18"/>
  <c r="G1143" i="18"/>
  <c r="E1469" i="18"/>
  <c r="F70" i="18"/>
  <c r="F75" i="18" s="1"/>
  <c r="E252" i="18"/>
  <c r="F402" i="18"/>
  <c r="G819" i="18"/>
  <c r="G818" i="18" s="1"/>
  <c r="C877" i="18"/>
  <c r="C1624" i="18"/>
  <c r="C1800" i="18" s="1"/>
  <c r="D198" i="18"/>
  <c r="E198" i="18" s="1"/>
  <c r="G248" i="18"/>
  <c r="G258" i="18" s="1"/>
  <c r="D236" i="18"/>
  <c r="E236" i="18" s="1"/>
  <c r="G384" i="18"/>
  <c r="D397" i="18"/>
  <c r="D571" i="18"/>
  <c r="E571" i="18" s="1"/>
  <c r="E602" i="18" s="1"/>
  <c r="G573" i="18"/>
  <c r="G598" i="18" s="1"/>
  <c r="G599" i="18"/>
  <c r="H646" i="18"/>
  <c r="C728" i="18"/>
  <c r="C727" i="18" s="1"/>
  <c r="F741" i="18"/>
  <c r="H742" i="18"/>
  <c r="H765" i="18"/>
  <c r="G768" i="18"/>
  <c r="D772" i="18"/>
  <c r="E772" i="18" s="1"/>
  <c r="E782" i="18" s="1"/>
  <c r="D862" i="18"/>
  <c r="E862" i="18" s="1"/>
  <c r="F1141" i="18"/>
  <c r="H1140" i="18"/>
  <c r="E1180" i="18"/>
  <c r="D1184" i="18"/>
  <c r="E1184" i="18" s="1"/>
  <c r="D1273" i="18"/>
  <c r="E1273" i="18" s="1"/>
  <c r="H1306" i="18"/>
  <c r="D1318" i="18"/>
  <c r="E1318" i="18" s="1"/>
  <c r="D1332" i="18"/>
  <c r="E1332" i="18" s="1"/>
  <c r="H1336" i="18"/>
  <c r="D1532" i="18"/>
  <c r="E1532" i="18" s="1"/>
  <c r="E1535" i="18" s="1"/>
  <c r="G1542" i="18"/>
  <c r="D1646" i="18"/>
  <c r="E1646" i="18" s="1"/>
  <c r="D1766" i="18"/>
  <c r="E1766" i="18" s="1"/>
  <c r="C1777" i="18"/>
  <c r="D823" i="18"/>
  <c r="E823" i="18" s="1"/>
  <c r="D855" i="18"/>
  <c r="E855" i="18" s="1"/>
  <c r="F80" i="18"/>
  <c r="D122" i="18"/>
  <c r="D127" i="18"/>
  <c r="E127" i="18" s="1"/>
  <c r="D179" i="18"/>
  <c r="E179" i="18" s="1"/>
  <c r="C220" i="18"/>
  <c r="D234" i="18"/>
  <c r="E234" i="18" s="1"/>
  <c r="D399" i="18"/>
  <c r="E399" i="18" s="1"/>
  <c r="G507" i="18"/>
  <c r="D454" i="18"/>
  <c r="E454" i="18" s="1"/>
  <c r="F599" i="18"/>
  <c r="C663" i="18"/>
  <c r="G745" i="18"/>
  <c r="G877" i="18"/>
  <c r="C1013" i="18"/>
  <c r="D1154" i="18"/>
  <c r="E1154" i="18" s="1"/>
  <c r="G1338" i="18"/>
  <c r="D1343" i="18"/>
  <c r="D1352" i="18" s="1"/>
  <c r="D1384" i="18"/>
  <c r="E1384" i="18" s="1"/>
  <c r="D1602" i="18"/>
  <c r="D1610" i="18" s="1"/>
  <c r="G1647" i="18"/>
  <c r="I1753" i="18"/>
  <c r="D29" i="18"/>
  <c r="H262" i="18"/>
  <c r="D608" i="18"/>
  <c r="E608" i="18" s="1"/>
  <c r="C614" i="18"/>
  <c r="F744" i="18"/>
  <c r="F867" i="18" s="1"/>
  <c r="C1158" i="18"/>
  <c r="E1779" i="18"/>
  <c r="E1780" i="18" s="1"/>
  <c r="D1780" i="18"/>
  <c r="E33" i="18"/>
  <c r="E79" i="18" s="1"/>
  <c r="G252" i="18"/>
  <c r="G263" i="18" s="1"/>
  <c r="C602" i="18"/>
  <c r="D1219" i="18"/>
  <c r="E1219" i="18" s="1"/>
  <c r="H1514" i="18"/>
  <c r="C41" i="18"/>
  <c r="F78" i="18"/>
  <c r="H80" i="18"/>
  <c r="E120" i="18"/>
  <c r="E122" i="18" s="1"/>
  <c r="C129" i="18"/>
  <c r="I232" i="18"/>
  <c r="D243" i="18"/>
  <c r="E243" i="18" s="1"/>
  <c r="F258" i="18"/>
  <c r="G367" i="18"/>
  <c r="G371" i="18" s="1"/>
  <c r="G369" i="18" s="1"/>
  <c r="C429" i="18"/>
  <c r="D535" i="18"/>
  <c r="E535" i="18" s="1"/>
  <c r="E537" i="18" s="1"/>
  <c r="G545" i="18"/>
  <c r="D787" i="18"/>
  <c r="E787" i="18" s="1"/>
  <c r="I787" i="18" s="1"/>
  <c r="D789" i="18"/>
  <c r="E789" i="18" s="1"/>
  <c r="I789" i="18" s="1"/>
  <c r="D1098" i="18"/>
  <c r="E1098" i="18" s="1"/>
  <c r="C1244" i="18"/>
  <c r="E1511" i="18"/>
  <c r="G1607" i="18"/>
  <c r="D1600" i="18"/>
  <c r="E1600" i="18" s="1"/>
  <c r="G1609" i="18"/>
  <c r="H1706" i="18"/>
  <c r="H1713" i="18" s="1"/>
  <c r="D1701" i="18"/>
  <c r="E1701" i="18" s="1"/>
  <c r="D1709" i="18"/>
  <c r="E1709" i="18" s="1"/>
  <c r="F711" i="18"/>
  <c r="F708" i="18" s="1"/>
  <c r="F707" i="18"/>
  <c r="G729" i="18"/>
  <c r="D720" i="18"/>
  <c r="D729" i="18" s="1"/>
  <c r="G1213" i="18"/>
  <c r="D1203" i="18"/>
  <c r="E1203" i="18" s="1"/>
  <c r="G1483" i="18"/>
  <c r="H250" i="18"/>
  <c r="H260" i="18" s="1"/>
  <c r="C404" i="18"/>
  <c r="D485" i="18"/>
  <c r="E724" i="18"/>
  <c r="F908" i="18"/>
  <c r="C952" i="18"/>
  <c r="C950" i="18" s="1"/>
  <c r="C949" i="18"/>
  <c r="D1374" i="18"/>
  <c r="E1374" i="18" s="1"/>
  <c r="E1379" i="18" s="1"/>
  <c r="D1453" i="18"/>
  <c r="E1430" i="18"/>
  <c r="E1453" i="18" s="1"/>
  <c r="E1504" i="18"/>
  <c r="F1591" i="18"/>
  <c r="F1566" i="18"/>
  <c r="F1589" i="18" s="1"/>
  <c r="F1594" i="18" s="1"/>
  <c r="H1722" i="18"/>
  <c r="H42" i="18"/>
  <c r="G89" i="18"/>
  <c r="D99" i="18"/>
  <c r="D252" i="18"/>
  <c r="D263" i="18" s="1"/>
  <c r="F286" i="18"/>
  <c r="E342" i="18"/>
  <c r="E343" i="18" s="1"/>
  <c r="E508" i="18"/>
  <c r="E552" i="18" s="1"/>
  <c r="D649" i="18"/>
  <c r="G650" i="18"/>
  <c r="H1172" i="18"/>
  <c r="H1171" i="18" s="1"/>
  <c r="D1163" i="18"/>
  <c r="E1163" i="18" s="1"/>
  <c r="H1212" i="18"/>
  <c r="D1224" i="18"/>
  <c r="E1217" i="18"/>
  <c r="E1224" i="18" s="1"/>
  <c r="D1345" i="18"/>
  <c r="E1345" i="18" s="1"/>
  <c r="E1441" i="18"/>
  <c r="E1443" i="18" s="1"/>
  <c r="D1443" i="18"/>
  <c r="F1515" i="18"/>
  <c r="D1509" i="18"/>
  <c r="E1509" i="18" s="1"/>
  <c r="D1575" i="18"/>
  <c r="E1575" i="18" s="1"/>
  <c r="E1693" i="18"/>
  <c r="H637" i="18"/>
  <c r="H644" i="18" s="1"/>
  <c r="H645" i="18" s="1"/>
  <c r="G643" i="18"/>
  <c r="E740" i="18"/>
  <c r="E745" i="18" s="1"/>
  <c r="D762" i="18"/>
  <c r="E762" i="18" s="1"/>
  <c r="G817" i="18"/>
  <c r="D824" i="18"/>
  <c r="E824" i="18" s="1"/>
  <c r="H893" i="18"/>
  <c r="H895" i="18"/>
  <c r="H894" i="18" s="1"/>
  <c r="D990" i="18"/>
  <c r="E990" i="18" s="1"/>
  <c r="D1068" i="18"/>
  <c r="E1068" i="18" s="1"/>
  <c r="H1126" i="18"/>
  <c r="H1125" i="18" s="1"/>
  <c r="G1193" i="18"/>
  <c r="D1270" i="18"/>
  <c r="E1270" i="18" s="1"/>
  <c r="D1272" i="18"/>
  <c r="E1272" i="18" s="1"/>
  <c r="D1328" i="18"/>
  <c r="D1337" i="18" s="1"/>
  <c r="D1401" i="18"/>
  <c r="E1401" i="18" s="1"/>
  <c r="C1422" i="18"/>
  <c r="C1485" i="18"/>
  <c r="F1498" i="18"/>
  <c r="G1494" i="18"/>
  <c r="G1558" i="18"/>
  <c r="D1569" i="18"/>
  <c r="E1569" i="18" s="1"/>
  <c r="D1717" i="18"/>
  <c r="E1717" i="18" s="1"/>
  <c r="D1719" i="18"/>
  <c r="E1719" i="18" s="1"/>
  <c r="D1756" i="18"/>
  <c r="E1756" i="18" s="1"/>
  <c r="I1756" i="18" s="1"/>
  <c r="F1760" i="18"/>
  <c r="E1786" i="18"/>
  <c r="G709" i="18"/>
  <c r="E706" i="18"/>
  <c r="G726" i="18"/>
  <c r="F818" i="18"/>
  <c r="F817" i="18"/>
  <c r="C856" i="18"/>
  <c r="D1067" i="18"/>
  <c r="E1067" i="18" s="1"/>
  <c r="F1211" i="18"/>
  <c r="H1376" i="18"/>
  <c r="D1476" i="18"/>
  <c r="E1476" i="18" s="1"/>
  <c r="G1571" i="18"/>
  <c r="C405" i="18"/>
  <c r="D804" i="18"/>
  <c r="E804" i="18" s="1"/>
  <c r="E810" i="18" s="1"/>
  <c r="G810" i="18"/>
  <c r="G808" i="18" s="1"/>
  <c r="C1111" i="18"/>
  <c r="D1106" i="18"/>
  <c r="D1111" i="18" s="1"/>
  <c r="H1190" i="18"/>
  <c r="G1262" i="18"/>
  <c r="D1261" i="18"/>
  <c r="E1261" i="18" s="1"/>
  <c r="C1593" i="18"/>
  <c r="C1598" i="18" s="1"/>
  <c r="E96" i="18"/>
  <c r="E99" i="18" s="1"/>
  <c r="C742" i="18"/>
  <c r="H810" i="18"/>
  <c r="H808" i="18" s="1"/>
  <c r="H807" i="18"/>
  <c r="F894" i="18"/>
  <c r="H1035" i="18"/>
  <c r="H1040" i="18"/>
  <c r="H1036" i="18" s="1"/>
  <c r="G1069" i="18"/>
  <c r="H1109" i="18"/>
  <c r="H1108" i="18" s="1"/>
  <c r="H1107" i="18"/>
  <c r="G1127" i="18"/>
  <c r="G1125" i="18" s="1"/>
  <c r="D1119" i="18"/>
  <c r="E1119" i="18" s="1"/>
  <c r="D1122" i="18"/>
  <c r="E1122" i="18" s="1"/>
  <c r="C1128" i="18"/>
  <c r="G1528" i="18"/>
  <c r="G1566" i="18"/>
  <c r="D1560" i="18"/>
  <c r="E1560" i="18" s="1"/>
  <c r="G1593" i="18"/>
  <c r="D1633" i="18"/>
  <c r="E1633" i="18" s="1"/>
  <c r="E1642" i="18" s="1"/>
  <c r="C1642" i="18"/>
  <c r="C29" i="18"/>
  <c r="D38" i="18"/>
  <c r="E38" i="18" s="1"/>
  <c r="E44" i="18" s="1"/>
  <c r="D84" i="18"/>
  <c r="H161" i="18"/>
  <c r="H217" i="18" s="1"/>
  <c r="E124" i="18"/>
  <c r="E125" i="18" s="1"/>
  <c r="F189" i="18"/>
  <c r="D201" i="18"/>
  <c r="E201" i="18" s="1"/>
  <c r="G323" i="18"/>
  <c r="G353" i="18"/>
  <c r="G428" i="18" s="1"/>
  <c r="G328" i="18"/>
  <c r="D330" i="18"/>
  <c r="C333" i="18"/>
  <c r="C446" i="18"/>
  <c r="H446" i="18"/>
  <c r="H505" i="18"/>
  <c r="D458" i="18"/>
  <c r="E458" i="18" s="1"/>
  <c r="C537" i="18"/>
  <c r="D539" i="18"/>
  <c r="H598" i="18"/>
  <c r="C582" i="18"/>
  <c r="F646" i="18"/>
  <c r="G728" i="18"/>
  <c r="D734" i="18"/>
  <c r="E734" i="18" s="1"/>
  <c r="C741" i="18"/>
  <c r="E801" i="18"/>
  <c r="G908" i="18"/>
  <c r="H949" i="18"/>
  <c r="D1137" i="18"/>
  <c r="E1137" i="18" s="1"/>
  <c r="D1179" i="18"/>
  <c r="E1179" i="18" s="1"/>
  <c r="D1419" i="18"/>
  <c r="E1419" i="18" s="1"/>
  <c r="H1483" i="18"/>
  <c r="H1482" i="18" s="1"/>
  <c r="H1481" i="18"/>
  <c r="D1470" i="18"/>
  <c r="E1470" i="18" s="1"/>
  <c r="D1510" i="18"/>
  <c r="D1517" i="18" s="1"/>
  <c r="G1517" i="18"/>
  <c r="E69" i="18"/>
  <c r="G163" i="18"/>
  <c r="G219" i="18" s="1"/>
  <c r="F368" i="18"/>
  <c r="F370" i="18"/>
  <c r="G401" i="18"/>
  <c r="E441" i="18"/>
  <c r="E447" i="18" s="1"/>
  <c r="D445" i="18"/>
  <c r="D521" i="18"/>
  <c r="E521" i="18" s="1"/>
  <c r="D625" i="18"/>
  <c r="D55" i="18"/>
  <c r="E104" i="18"/>
  <c r="E106" i="18" s="1"/>
  <c r="D106" i="18"/>
  <c r="C164" i="18"/>
  <c r="C162" i="18" s="1"/>
  <c r="C110" i="18"/>
  <c r="D154" i="18"/>
  <c r="D385" i="18"/>
  <c r="G403" i="18"/>
  <c r="D406" i="18"/>
  <c r="D447" i="18"/>
  <c r="C507" i="18"/>
  <c r="C551" i="18" s="1"/>
  <c r="H526" i="18"/>
  <c r="C566" i="18"/>
  <c r="C600" i="18"/>
  <c r="D563" i="18"/>
  <c r="E563" i="18" s="1"/>
  <c r="E566" i="18" s="1"/>
  <c r="D639" i="18"/>
  <c r="G647" i="18"/>
  <c r="D642" i="18"/>
  <c r="E642" i="18" s="1"/>
  <c r="C650" i="18"/>
  <c r="G711" i="18"/>
  <c r="D705" i="18"/>
  <c r="E705" i="18" s="1"/>
  <c r="C766" i="18"/>
  <c r="C765" i="18" s="1"/>
  <c r="C783" i="18"/>
  <c r="C781" i="18" s="1"/>
  <c r="D774" i="18"/>
  <c r="C780" i="18"/>
  <c r="F780" i="18"/>
  <c r="E827" i="18"/>
  <c r="G952" i="18"/>
  <c r="G966" i="18" s="1"/>
  <c r="G949" i="18"/>
  <c r="D946" i="18"/>
  <c r="E946" i="18" s="1"/>
  <c r="E952" i="18" s="1"/>
  <c r="F962" i="18"/>
  <c r="F963" i="18" s="1"/>
  <c r="D1016" i="18"/>
  <c r="E1011" i="18"/>
  <c r="E1016" i="18" s="1"/>
  <c r="C1127" i="18"/>
  <c r="G1274" i="18"/>
  <c r="D1264" i="18"/>
  <c r="E1264" i="18" s="1"/>
  <c r="E1344" i="18"/>
  <c r="D1435" i="18"/>
  <c r="E1433" i="18"/>
  <c r="E1435" i="18" s="1"/>
  <c r="D34" i="18"/>
  <c r="H70" i="18"/>
  <c r="H75" i="18" s="1"/>
  <c r="D160" i="18"/>
  <c r="G250" i="18"/>
  <c r="G260" i="18" s="1"/>
  <c r="C248" i="18"/>
  <c r="C258" i="18" s="1"/>
  <c r="D421" i="18"/>
  <c r="E421" i="18" s="1"/>
  <c r="F507" i="18"/>
  <c r="F551" i="18" s="1"/>
  <c r="D686" i="18"/>
  <c r="E686" i="18" s="1"/>
  <c r="H693" i="18"/>
  <c r="F42" i="18"/>
  <c r="E51" i="18"/>
  <c r="E55" i="18" s="1"/>
  <c r="H77" i="18"/>
  <c r="G164" i="18"/>
  <c r="D181" i="18"/>
  <c r="E181" i="18" s="1"/>
  <c r="G251" i="18"/>
  <c r="G262" i="18" s="1"/>
  <c r="D242" i="18"/>
  <c r="E242" i="18" s="1"/>
  <c r="D301" i="18"/>
  <c r="D302" i="18" s="1"/>
  <c r="D315" i="18"/>
  <c r="E315" i="18" s="1"/>
  <c r="D317" i="18"/>
  <c r="E317" i="18" s="1"/>
  <c r="C353" i="18"/>
  <c r="C428" i="18" s="1"/>
  <c r="C1810" i="18" s="1"/>
  <c r="E385" i="18"/>
  <c r="H381" i="18"/>
  <c r="G439" i="18"/>
  <c r="D474" i="18"/>
  <c r="E474" i="18" s="1"/>
  <c r="G480" i="18"/>
  <c r="G537" i="18"/>
  <c r="D575" i="18"/>
  <c r="E575" i="18" s="1"/>
  <c r="E582" i="18" s="1"/>
  <c r="C694" i="18"/>
  <c r="D714" i="18"/>
  <c r="C726" i="18"/>
  <c r="D779" i="18"/>
  <c r="E779" i="18" s="1"/>
  <c r="E784" i="18" s="1"/>
  <c r="G781" i="18"/>
  <c r="E924" i="18"/>
  <c r="H922" i="18"/>
  <c r="D1118" i="18"/>
  <c r="E1118" i="18" s="1"/>
  <c r="H1141" i="18"/>
  <c r="H1350" i="18"/>
  <c r="H1352" i="18"/>
  <c r="H1351" i="18" s="1"/>
  <c r="C1354" i="18"/>
  <c r="C1351" i="18" s="1"/>
  <c r="D1349" i="18"/>
  <c r="D1354" i="18" s="1"/>
  <c r="G1398" i="18"/>
  <c r="D1493" i="18"/>
  <c r="G46" i="18"/>
  <c r="G42" i="18" s="1"/>
  <c r="H162" i="18"/>
  <c r="H190" i="18"/>
  <c r="C422" i="18"/>
  <c r="H507" i="18"/>
  <c r="H551" i="18" s="1"/>
  <c r="G505" i="18"/>
  <c r="F676" i="18"/>
  <c r="F727" i="18"/>
  <c r="E725" i="18"/>
  <c r="G730" i="18"/>
  <c r="F781" i="18"/>
  <c r="H793" i="18"/>
  <c r="H832" i="18"/>
  <c r="D831" i="18"/>
  <c r="E831" i="18" s="1"/>
  <c r="D880" i="18"/>
  <c r="E880" i="18" s="1"/>
  <c r="C881" i="18"/>
  <c r="D910" i="18"/>
  <c r="H908" i="18"/>
  <c r="D1097" i="18"/>
  <c r="E1097" i="18" s="1"/>
  <c r="C1109" i="18"/>
  <c r="C1107" i="18"/>
  <c r="G1211" i="18"/>
  <c r="G1214" i="18"/>
  <c r="E1218" i="18"/>
  <c r="F1225" i="18"/>
  <c r="F1223" i="18" s="1"/>
  <c r="F1222" i="18"/>
  <c r="D1221" i="18"/>
  <c r="E1221" i="18" s="1"/>
  <c r="E1226" i="18" s="1"/>
  <c r="D1737" i="18"/>
  <c r="E1758" i="18"/>
  <c r="I1758" i="18" s="1"/>
  <c r="C1768" i="18"/>
  <c r="D1763" i="18"/>
  <c r="E1763" i="18" s="1"/>
  <c r="F691" i="18"/>
  <c r="D699" i="18"/>
  <c r="E699" i="18" s="1"/>
  <c r="F726" i="18"/>
  <c r="H763" i="18"/>
  <c r="H764" i="18" s="1"/>
  <c r="C808" i="18"/>
  <c r="C817" i="18"/>
  <c r="G828" i="18"/>
  <c r="C863" i="18"/>
  <c r="E923" i="18"/>
  <c r="E925" i="18"/>
  <c r="C967" i="18"/>
  <c r="F1075" i="18"/>
  <c r="E988" i="18"/>
  <c r="G1035" i="18"/>
  <c r="D1039" i="18"/>
  <c r="D1033" i="18"/>
  <c r="D1040" i="18" s="1"/>
  <c r="D1086" i="18"/>
  <c r="F1124" i="18"/>
  <c r="I1117" i="18"/>
  <c r="F1127" i="18"/>
  <c r="F1125" i="18" s="1"/>
  <c r="D1135" i="18"/>
  <c r="E1135" i="18" s="1"/>
  <c r="F1156" i="18"/>
  <c r="G1156" i="18"/>
  <c r="E1202" i="18"/>
  <c r="F1213" i="18"/>
  <c r="F1277" i="18" s="1"/>
  <c r="G1235" i="18"/>
  <c r="F1322" i="18"/>
  <c r="F1484" i="18"/>
  <c r="F1482" i="18" s="1"/>
  <c r="D1477" i="18"/>
  <c r="E1477" i="18" s="1"/>
  <c r="C1483" i="18"/>
  <c r="C1516" i="18"/>
  <c r="D1507" i="18"/>
  <c r="E1507" i="18" s="1"/>
  <c r="C1555" i="18"/>
  <c r="D1565" i="18"/>
  <c r="E1565" i="18" s="1"/>
  <c r="D1601" i="18"/>
  <c r="E1601" i="18" s="1"/>
  <c r="G1610" i="18"/>
  <c r="C1607" i="18"/>
  <c r="D1730" i="18"/>
  <c r="E1730" i="18" s="1"/>
  <c r="C993" i="18"/>
  <c r="C1001" i="18" s="1"/>
  <c r="H1004" i="18"/>
  <c r="H1002" i="18" s="1"/>
  <c r="F993" i="18"/>
  <c r="F1001" i="18" s="1"/>
  <c r="C1004" i="18"/>
  <c r="C1002" i="18" s="1"/>
  <c r="E1009" i="18"/>
  <c r="E1015" i="18" s="1"/>
  <c r="H1012" i="18"/>
  <c r="C1110" i="18"/>
  <c r="D1116" i="18"/>
  <c r="E1116" i="18" s="1"/>
  <c r="H1291" i="18"/>
  <c r="D1366" i="18"/>
  <c r="F1388" i="18"/>
  <c r="C1415" i="18"/>
  <c r="F1497" i="18"/>
  <c r="G1516" i="18"/>
  <c r="H1526" i="18"/>
  <c r="C1656" i="18"/>
  <c r="D1786" i="18"/>
  <c r="D1269" i="18"/>
  <c r="E1269" i="18" s="1"/>
  <c r="D1271" i="18"/>
  <c r="E1271" i="18" s="1"/>
  <c r="G1293" i="18"/>
  <c r="F1291" i="18"/>
  <c r="C1321" i="18"/>
  <c r="G1351" i="18"/>
  <c r="F1375" i="18"/>
  <c r="G1450" i="18"/>
  <c r="D1480" i="18"/>
  <c r="E1480" i="18" s="1"/>
  <c r="H1495" i="18"/>
  <c r="G1498" i="18"/>
  <c r="G1512" i="18"/>
  <c r="G1513" i="18" s="1"/>
  <c r="C1512" i="18"/>
  <c r="C1513" i="18" s="1"/>
  <c r="F1516" i="18"/>
  <c r="F1598" i="18"/>
  <c r="G1576" i="18"/>
  <c r="D1624" i="18"/>
  <c r="D1800" i="18" s="1"/>
  <c r="G1760" i="18"/>
  <c r="I1755" i="18"/>
  <c r="D1475" i="18"/>
  <c r="E1475" i="18" s="1"/>
  <c r="G1485" i="18"/>
  <c r="D1491" i="18"/>
  <c r="E1491" i="18" s="1"/>
  <c r="F1512" i="18"/>
  <c r="F1513" i="18" s="1"/>
  <c r="G1525" i="18"/>
  <c r="F1543" i="18"/>
  <c r="F1555" i="18"/>
  <c r="F1608" i="18"/>
  <c r="F1623" i="18"/>
  <c r="H1759" i="18"/>
  <c r="H1760" i="18" s="1"/>
  <c r="G1792" i="18"/>
  <c r="D285" i="18"/>
  <c r="E277" i="18"/>
  <c r="D287" i="18"/>
  <c r="G306" i="18"/>
  <c r="G351" i="18"/>
  <c r="G426" i="18" s="1"/>
  <c r="G350" i="18"/>
  <c r="D489" i="18"/>
  <c r="E488" i="18"/>
  <c r="E489" i="18" s="1"/>
  <c r="C675" i="18"/>
  <c r="D671" i="18"/>
  <c r="C678" i="18"/>
  <c r="C676" i="18" s="1"/>
  <c r="E735" i="18"/>
  <c r="C794" i="18"/>
  <c r="D786" i="18"/>
  <c r="D838" i="18"/>
  <c r="E835" i="18"/>
  <c r="E838" i="18" s="1"/>
  <c r="G73" i="18"/>
  <c r="G78" i="18" s="1"/>
  <c r="G62" i="18"/>
  <c r="G70" i="18" s="1"/>
  <c r="D60" i="18"/>
  <c r="G161" i="18"/>
  <c r="E178" i="18"/>
  <c r="G182" i="18"/>
  <c r="G189" i="18" s="1"/>
  <c r="E226" i="18"/>
  <c r="E230" i="18" s="1"/>
  <c r="D230" i="18"/>
  <c r="D241" i="18"/>
  <c r="E241" i="18" s="1"/>
  <c r="C251" i="18"/>
  <c r="C262" i="18" s="1"/>
  <c r="F349" i="18"/>
  <c r="E622" i="18"/>
  <c r="D659" i="18"/>
  <c r="C660" i="18"/>
  <c r="F768" i="18"/>
  <c r="E758" i="18"/>
  <c r="E768" i="18" s="1"/>
  <c r="C897" i="18"/>
  <c r="D892" i="18"/>
  <c r="C1159" i="18"/>
  <c r="D1153" i="18"/>
  <c r="C1155" i="18"/>
  <c r="F77" i="18"/>
  <c r="E92" i="18"/>
  <c r="C216" i="18"/>
  <c r="E255" i="18"/>
  <c r="D257" i="18"/>
  <c r="C43" i="18"/>
  <c r="D37" i="18"/>
  <c r="C46" i="18"/>
  <c r="C80" i="18" s="1"/>
  <c r="D72" i="18"/>
  <c r="D61" i="18"/>
  <c r="G74" i="18"/>
  <c r="D69" i="18"/>
  <c r="H78" i="18"/>
  <c r="G77" i="18"/>
  <c r="E83" i="18"/>
  <c r="E87" i="18"/>
  <c r="E222" i="18" s="1"/>
  <c r="F161" i="18"/>
  <c r="E110" i="18"/>
  <c r="E112" i="18"/>
  <c r="D133" i="18"/>
  <c r="E139" i="18"/>
  <c r="E142" i="18" s="1"/>
  <c r="D142" i="18"/>
  <c r="C182" i="18"/>
  <c r="C189" i="18" s="1"/>
  <c r="G192" i="18"/>
  <c r="G190" i="18" s="1"/>
  <c r="D237" i="18"/>
  <c r="E237" i="18" s="1"/>
  <c r="C261" i="18"/>
  <c r="D247" i="18"/>
  <c r="D288" i="18"/>
  <c r="H352" i="18"/>
  <c r="D295" i="18"/>
  <c r="D304" i="18"/>
  <c r="D310" i="18"/>
  <c r="H350" i="18"/>
  <c r="H318" i="18"/>
  <c r="E355" i="18"/>
  <c r="C382" i="18"/>
  <c r="C380" i="18"/>
  <c r="D374" i="18"/>
  <c r="D382" i="18" s="1"/>
  <c r="G386" i="18"/>
  <c r="G429" i="18" s="1"/>
  <c r="G405" i="18"/>
  <c r="D439" i="18"/>
  <c r="E433" i="18"/>
  <c r="C505" i="18"/>
  <c r="C466" i="18"/>
  <c r="D464" i="18"/>
  <c r="G519" i="18"/>
  <c r="D513" i="18"/>
  <c r="E513" i="18" s="1"/>
  <c r="E519" i="18" s="1"/>
  <c r="G523" i="18"/>
  <c r="G527" i="18" s="1"/>
  <c r="C707" i="18"/>
  <c r="D697" i="18"/>
  <c r="C709" i="18"/>
  <c r="C708" i="18" s="1"/>
  <c r="D710" i="18"/>
  <c r="E702" i="18"/>
  <c r="E710" i="18" s="1"/>
  <c r="F793" i="18"/>
  <c r="D929" i="18"/>
  <c r="E929" i="18" s="1"/>
  <c r="G937" i="18"/>
  <c r="G936" i="18" s="1"/>
  <c r="G935" i="18"/>
  <c r="D953" i="18"/>
  <c r="E947" i="18"/>
  <c r="E953" i="18" s="1"/>
  <c r="G1037" i="18"/>
  <c r="G1036" i="18" s="1"/>
  <c r="E1096" i="18"/>
  <c r="G1110" i="18"/>
  <c r="G1108" i="18" s="1"/>
  <c r="D1103" i="18"/>
  <c r="E1103" i="18" s="1"/>
  <c r="E1110" i="18" s="1"/>
  <c r="G1107" i="18"/>
  <c r="C78" i="18"/>
  <c r="D151" i="18"/>
  <c r="E151" i="18" s="1"/>
  <c r="E152" i="18" s="1"/>
  <c r="C152" i="18"/>
  <c r="G216" i="18"/>
  <c r="F259" i="18"/>
  <c r="D297" i="18"/>
  <c r="C351" i="18"/>
  <c r="C350" i="18"/>
  <c r="C299" i="18"/>
  <c r="D386" i="18"/>
  <c r="E379" i="18"/>
  <c r="E386" i="18" s="1"/>
  <c r="E716" i="18"/>
  <c r="C792" i="18"/>
  <c r="E1285" i="18"/>
  <c r="E1772" i="18"/>
  <c r="F162" i="18"/>
  <c r="C192" i="18"/>
  <c r="E233" i="18"/>
  <c r="G261" i="18"/>
  <c r="D239" i="18"/>
  <c r="H368" i="18"/>
  <c r="H371" i="18"/>
  <c r="E375" i="18"/>
  <c r="F383" i="18"/>
  <c r="F381" i="18" s="1"/>
  <c r="D543" i="18"/>
  <c r="C553" i="18"/>
  <c r="F869" i="18"/>
  <c r="F893" i="18"/>
  <c r="E1051" i="18"/>
  <c r="E1147" i="18"/>
  <c r="E1573" i="18"/>
  <c r="E159" i="18"/>
  <c r="E160" i="18" s="1"/>
  <c r="D271" i="18"/>
  <c r="C274" i="18"/>
  <c r="D298" i="18"/>
  <c r="E298" i="18" s="1"/>
  <c r="C352" i="18"/>
  <c r="C318" i="18"/>
  <c r="D320" i="18"/>
  <c r="C322" i="18"/>
  <c r="D340" i="18"/>
  <c r="E339" i="18"/>
  <c r="E340" i="18" s="1"/>
  <c r="G380" i="18"/>
  <c r="D393" i="18"/>
  <c r="E393" i="18" s="1"/>
  <c r="C401" i="18"/>
  <c r="C403" i="18"/>
  <c r="C462" i="18"/>
  <c r="D461" i="18"/>
  <c r="C475" i="18"/>
  <c r="D473" i="18"/>
  <c r="C480" i="18"/>
  <c r="D478" i="18"/>
  <c r="D493" i="18"/>
  <c r="E491" i="18"/>
  <c r="E493" i="18" s="1"/>
  <c r="G498" i="18"/>
  <c r="D496" i="18"/>
  <c r="G506" i="18"/>
  <c r="G550" i="18" s="1"/>
  <c r="E520" i="18"/>
  <c r="C613" i="18"/>
  <c r="D612" i="18"/>
  <c r="D630" i="18"/>
  <c r="C643" i="18"/>
  <c r="D640" i="18"/>
  <c r="E640" i="18" s="1"/>
  <c r="H679" i="18"/>
  <c r="D674" i="18"/>
  <c r="E674" i="18" s="1"/>
  <c r="H692" i="18"/>
  <c r="H690" i="18"/>
  <c r="D683" i="18"/>
  <c r="G767" i="18"/>
  <c r="D753" i="18"/>
  <c r="E753" i="18" s="1"/>
  <c r="G1484" i="18"/>
  <c r="G1481" i="18"/>
  <c r="F1527" i="18"/>
  <c r="F1526" i="18" s="1"/>
  <c r="F1525" i="18"/>
  <c r="D1523" i="18"/>
  <c r="C1528" i="18"/>
  <c r="C1525" i="18"/>
  <c r="D604" i="18"/>
  <c r="E673" i="18"/>
  <c r="C763" i="18"/>
  <c r="C764" i="18" s="1"/>
  <c r="D761" i="18"/>
  <c r="C797" i="18"/>
  <c r="D791" i="18"/>
  <c r="E802" i="18"/>
  <c r="D809" i="18"/>
  <c r="C911" i="18"/>
  <c r="C908" i="18" s="1"/>
  <c r="C907" i="18"/>
  <c r="E921" i="18"/>
  <c r="E975" i="18"/>
  <c r="D976" i="18"/>
  <c r="G993" i="18"/>
  <c r="G1001" i="18" s="1"/>
  <c r="G1004" i="18"/>
  <c r="G1002" i="18" s="1"/>
  <c r="G1388" i="18"/>
  <c r="D1382" i="18"/>
  <c r="D1410" i="18"/>
  <c r="G1415" i="18"/>
  <c r="C71" i="18"/>
  <c r="D128" i="18"/>
  <c r="E128" i="18" s="1"/>
  <c r="D147" i="18"/>
  <c r="E147" i="18" s="1"/>
  <c r="E32" i="18"/>
  <c r="E49" i="18"/>
  <c r="D93" i="18"/>
  <c r="E93" i="18" s="1"/>
  <c r="D110" i="18"/>
  <c r="E131" i="18"/>
  <c r="E133" i="18" s="1"/>
  <c r="D137" i="18"/>
  <c r="E135" i="18"/>
  <c r="E137" i="18" s="1"/>
  <c r="E145" i="18"/>
  <c r="D176" i="18"/>
  <c r="E176" i="18" s="1"/>
  <c r="D188" i="18"/>
  <c r="E184" i="18"/>
  <c r="E188" i="18" s="1"/>
  <c r="E194" i="18"/>
  <c r="E195" i="18" s="1"/>
  <c r="C250" i="18"/>
  <c r="H351" i="18"/>
  <c r="H426" i="18" s="1"/>
  <c r="H299" i="18"/>
  <c r="D314" i="18"/>
  <c r="D321" i="18"/>
  <c r="E321" i="18" s="1"/>
  <c r="E325" i="18"/>
  <c r="D345" i="18"/>
  <c r="C367" i="18"/>
  <c r="H403" i="18"/>
  <c r="H402" i="18" s="1"/>
  <c r="H401" i="18"/>
  <c r="C417" i="18"/>
  <c r="G422" i="18"/>
  <c r="E438" i="18"/>
  <c r="F446" i="18"/>
  <c r="C459" i="18"/>
  <c r="H475" i="18"/>
  <c r="H503" i="18" s="1"/>
  <c r="C519" i="18"/>
  <c r="D544" i="18"/>
  <c r="E544" i="18" s="1"/>
  <c r="E556" i="18"/>
  <c r="D559" i="18"/>
  <c r="D561" i="18" s="1"/>
  <c r="C573" i="18"/>
  <c r="D587" i="18"/>
  <c r="E621" i="18"/>
  <c r="E623" i="18"/>
  <c r="E649" i="18" s="1"/>
  <c r="I649" i="18" s="1"/>
  <c r="D636" i="18"/>
  <c r="F644" i="18"/>
  <c r="F645" i="18" s="1"/>
  <c r="D663" i="18"/>
  <c r="E662" i="18"/>
  <c r="E663" i="18" s="1"/>
  <c r="G677" i="18"/>
  <c r="G676" i="18" s="1"/>
  <c r="D668" i="18"/>
  <c r="E668" i="18" s="1"/>
  <c r="H675" i="18"/>
  <c r="G675" i="18"/>
  <c r="H678" i="18"/>
  <c r="G741" i="18"/>
  <c r="D745" i="18"/>
  <c r="E788" i="18"/>
  <c r="E813" i="18"/>
  <c r="H819" i="18"/>
  <c r="H817" i="18"/>
  <c r="E822" i="18"/>
  <c r="F828" i="18"/>
  <c r="H869" i="18"/>
  <c r="F922" i="18"/>
  <c r="H935" i="18"/>
  <c r="F950" i="18"/>
  <c r="E957" i="18"/>
  <c r="D1015" i="18"/>
  <c r="D1012" i="18"/>
  <c r="D1061" i="18"/>
  <c r="E1061" i="18" s="1"/>
  <c r="G1063" i="18"/>
  <c r="E1080" i="18"/>
  <c r="E1084" i="18"/>
  <c r="E1087" i="18" s="1"/>
  <c r="D1085" i="18"/>
  <c r="F1107" i="18"/>
  <c r="C1144" i="18"/>
  <c r="D1138" i="18"/>
  <c r="H1157" i="18"/>
  <c r="H1156" i="18" s="1"/>
  <c r="H1155" i="18"/>
  <c r="C1223" i="18"/>
  <c r="H1223" i="18"/>
  <c r="E1238" i="18"/>
  <c r="E1248" i="18"/>
  <c r="C1293" i="18"/>
  <c r="D1288" i="18"/>
  <c r="C1566" i="18"/>
  <c r="D1561" i="18"/>
  <c r="C1791" i="18"/>
  <c r="C1792" i="18" s="1"/>
  <c r="D1790" i="18"/>
  <c r="E1790" i="18" s="1"/>
  <c r="C413" i="18"/>
  <c r="E568" i="18"/>
  <c r="G637" i="18"/>
  <c r="D811" i="18"/>
  <c r="E805" i="18"/>
  <c r="E811" i="18" s="1"/>
  <c r="C832" i="18"/>
  <c r="D830" i="18"/>
  <c r="D960" i="18"/>
  <c r="D972" i="18"/>
  <c r="G973" i="18"/>
  <c r="F1002" i="18"/>
  <c r="D1045" i="18"/>
  <c r="E1043" i="18"/>
  <c r="D212" i="18"/>
  <c r="E212" i="18" s="1"/>
  <c r="E216" i="18" s="1"/>
  <c r="H230" i="18"/>
  <c r="F249" i="18"/>
  <c r="H322" i="18"/>
  <c r="D327" i="18"/>
  <c r="E336" i="18"/>
  <c r="E337" i="18" s="1"/>
  <c r="D376" i="18"/>
  <c r="E376" i="18" s="1"/>
  <c r="C384" i="18"/>
  <c r="D409" i="18"/>
  <c r="D416" i="18"/>
  <c r="D448" i="18"/>
  <c r="E444" i="18"/>
  <c r="E448" i="18" s="1"/>
  <c r="F503" i="18"/>
  <c r="E453" i="18"/>
  <c r="D469" i="18"/>
  <c r="E483" i="18"/>
  <c r="E485" i="18" s="1"/>
  <c r="C506" i="18"/>
  <c r="E532" i="18"/>
  <c r="C545" i="18"/>
  <c r="C561" i="18"/>
  <c r="C601" i="18"/>
  <c r="E604" i="18"/>
  <c r="E607" i="18"/>
  <c r="C637" i="18"/>
  <c r="D634" i="18"/>
  <c r="E634" i="18" s="1"/>
  <c r="E667" i="18"/>
  <c r="H708" i="18"/>
  <c r="G744" i="18"/>
  <c r="D736" i="18"/>
  <c r="E736" i="18" s="1"/>
  <c r="G759" i="18"/>
  <c r="G764" i="18" s="1"/>
  <c r="G766" i="18"/>
  <c r="H782" i="18"/>
  <c r="H781" i="18" s="1"/>
  <c r="H780" i="18"/>
  <c r="G780" i="18"/>
  <c r="G792" i="18"/>
  <c r="D816" i="18"/>
  <c r="G863" i="18"/>
  <c r="D874" i="18"/>
  <c r="D879" i="18"/>
  <c r="G881" i="18"/>
  <c r="E900" i="18"/>
  <c r="E902" i="18"/>
  <c r="E910" i="18" s="1"/>
  <c r="D906" i="18"/>
  <c r="D909" i="18"/>
  <c r="G922" i="18"/>
  <c r="E928" i="18"/>
  <c r="C936" i="18"/>
  <c r="E951" i="18"/>
  <c r="H951" i="18"/>
  <c r="D959" i="18"/>
  <c r="E959" i="18" s="1"/>
  <c r="C962" i="18"/>
  <c r="D1003" i="18"/>
  <c r="D999" i="18"/>
  <c r="E995" i="18"/>
  <c r="E1048" i="18"/>
  <c r="E1049" i="18" s="1"/>
  <c r="D1049" i="18"/>
  <c r="E1090" i="18"/>
  <c r="E1091" i="18" s="1"/>
  <c r="D1091" i="18"/>
  <c r="F1111" i="18"/>
  <c r="F1108" i="18" s="1"/>
  <c r="D1165" i="18"/>
  <c r="E1165" i="18" s="1"/>
  <c r="G1170" i="18"/>
  <c r="G1173" i="18"/>
  <c r="F1194" i="18"/>
  <c r="F1191" i="18" s="1"/>
  <c r="F1190" i="18"/>
  <c r="D1195" i="18"/>
  <c r="E1189" i="18"/>
  <c r="E1195" i="18" s="1"/>
  <c r="D1210" i="18"/>
  <c r="E1210" i="18" s="1"/>
  <c r="E1215" i="18" s="1"/>
  <c r="C1215" i="18"/>
  <c r="E1242" i="18"/>
  <c r="H694" i="18"/>
  <c r="D688" i="18"/>
  <c r="G710" i="18"/>
  <c r="G707" i="18"/>
  <c r="F809" i="18"/>
  <c r="F807" i="18"/>
  <c r="G856" i="18"/>
  <c r="G895" i="18"/>
  <c r="G894" i="18" s="1"/>
  <c r="G893" i="18"/>
  <c r="D951" i="18"/>
  <c r="F980" i="18"/>
  <c r="C1035" i="18"/>
  <c r="D1066" i="18"/>
  <c r="C1069" i="18"/>
  <c r="G1124" i="18"/>
  <c r="G1144" i="18"/>
  <c r="G1279" i="18" s="1"/>
  <c r="E1162" i="18"/>
  <c r="E1164" i="18"/>
  <c r="C1192" i="18"/>
  <c r="C1190" i="18"/>
  <c r="H1193" i="18"/>
  <c r="H1191" i="18" s="1"/>
  <c r="F1235" i="18"/>
  <c r="E1228" i="18"/>
  <c r="C1274" i="18"/>
  <c r="E1501" i="18"/>
  <c r="E1518" i="18" s="1"/>
  <c r="D1518" i="18"/>
  <c r="H1543" i="18"/>
  <c r="H1597" i="18"/>
  <c r="D1568" i="18"/>
  <c r="C1571" i="18"/>
  <c r="H1596" i="18"/>
  <c r="H1590" i="18"/>
  <c r="D1788" i="18"/>
  <c r="H1791" i="18"/>
  <c r="H1792" i="18" s="1"/>
  <c r="C62" i="18"/>
  <c r="C70" i="18" s="1"/>
  <c r="D508" i="18"/>
  <c r="D552" i="18" s="1"/>
  <c r="F526" i="18"/>
  <c r="F549" i="18" s="1"/>
  <c r="F524" i="18"/>
  <c r="D592" i="18"/>
  <c r="F598" i="18"/>
  <c r="H599" i="18"/>
  <c r="G625" i="18"/>
  <c r="D687" i="18"/>
  <c r="D689" i="18"/>
  <c r="E689" i="18" s="1"/>
  <c r="G693" i="18"/>
  <c r="G691" i="18" s="1"/>
  <c r="D750" i="18"/>
  <c r="F759" i="18"/>
  <c r="F764" i="18" s="1"/>
  <c r="D768" i="18"/>
  <c r="D796" i="18"/>
  <c r="E790" i="18"/>
  <c r="G807" i="18"/>
  <c r="C818" i="18"/>
  <c r="D845" i="18"/>
  <c r="E845" i="18" s="1"/>
  <c r="C895" i="18"/>
  <c r="C893" i="18"/>
  <c r="D888" i="18"/>
  <c r="C896" i="18"/>
  <c r="D934" i="18"/>
  <c r="E934" i="18" s="1"/>
  <c r="E939" i="18" s="1"/>
  <c r="C935" i="18"/>
  <c r="E961" i="18"/>
  <c r="H981" i="18"/>
  <c r="H979" i="18"/>
  <c r="I974" i="18"/>
  <c r="D983" i="18"/>
  <c r="C979" i="18"/>
  <c r="D1005" i="18"/>
  <c r="G1013" i="18"/>
  <c r="H1015" i="18"/>
  <c r="D1020" i="18"/>
  <c r="E1020" i="18" s="1"/>
  <c r="E1037" i="18" s="1"/>
  <c r="C1037" i="18"/>
  <c r="E1120" i="18"/>
  <c r="H1124" i="18"/>
  <c r="C1140" i="18"/>
  <c r="D1139" i="18"/>
  <c r="E1139" i="18" s="1"/>
  <c r="D1178" i="18"/>
  <c r="D1183" i="18"/>
  <c r="D1231" i="18"/>
  <c r="E1231" i="18" s="1"/>
  <c r="D1234" i="18"/>
  <c r="E1234" i="18" s="1"/>
  <c r="D1287" i="18"/>
  <c r="E1287" i="18" s="1"/>
  <c r="C1292" i="18"/>
  <c r="C1290" i="18"/>
  <c r="H1323" i="18"/>
  <c r="H1322" i="18" s="1"/>
  <c r="H1321" i="18"/>
  <c r="D1314" i="18"/>
  <c r="E1314" i="18" s="1"/>
  <c r="F1354" i="18"/>
  <c r="F1459" i="18" s="1"/>
  <c r="G1376" i="18"/>
  <c r="D1439" i="18"/>
  <c r="E1437" i="18"/>
  <c r="E1439" i="18" s="1"/>
  <c r="D1451" i="18"/>
  <c r="D1448" i="18"/>
  <c r="E1446" i="18"/>
  <c r="F1449" i="18"/>
  <c r="D1488" i="18"/>
  <c r="C1494" i="18"/>
  <c r="C1496" i="18"/>
  <c r="C1497" i="18"/>
  <c r="D1490" i="18"/>
  <c r="E1490" i="18" s="1"/>
  <c r="E1492" i="18"/>
  <c r="F979" i="18"/>
  <c r="H993" i="18"/>
  <c r="H1001" i="18" s="1"/>
  <c r="F1015" i="18"/>
  <c r="F1012" i="18"/>
  <c r="C1038" i="18"/>
  <c r="D1027" i="18"/>
  <c r="C1126" i="18"/>
  <c r="D1115" i="18"/>
  <c r="C1124" i="18"/>
  <c r="D1132" i="18"/>
  <c r="G1140" i="18"/>
  <c r="C1143" i="18"/>
  <c r="D1134" i="18"/>
  <c r="D1148" i="18"/>
  <c r="C1157" i="18"/>
  <c r="F1173" i="18"/>
  <c r="F1170" i="18"/>
  <c r="C1174" i="18"/>
  <c r="C1171" i="18" s="1"/>
  <c r="D1169" i="18"/>
  <c r="E1169" i="18" s="1"/>
  <c r="E1174" i="18" s="1"/>
  <c r="D1206" i="18"/>
  <c r="E1206" i="18" s="1"/>
  <c r="C1211" i="18"/>
  <c r="C1214" i="18"/>
  <c r="G1310" i="18"/>
  <c r="G1307" i="18" s="1"/>
  <c r="D1305" i="18"/>
  <c r="E1305" i="18" s="1"/>
  <c r="D1158" i="18"/>
  <c r="G1192" i="18"/>
  <c r="G1190" i="18"/>
  <c r="G1222" i="18"/>
  <c r="C1262" i="18"/>
  <c r="C1308" i="18"/>
  <c r="C1306" i="18"/>
  <c r="D1299" i="18"/>
  <c r="D1302" i="18"/>
  <c r="E1302" i="18" s="1"/>
  <c r="E1309" i="18" s="1"/>
  <c r="C1309" i="18"/>
  <c r="E1304" i="18"/>
  <c r="D1334" i="18"/>
  <c r="E1334" i="18" s="1"/>
  <c r="E1339" i="18" s="1"/>
  <c r="G1339" i="18"/>
  <c r="F1336" i="18"/>
  <c r="F1353" i="18"/>
  <c r="F1458" i="18" s="1"/>
  <c r="E1357" i="18"/>
  <c r="D1364" i="18"/>
  <c r="E1363" i="18"/>
  <c r="E1368" i="18" s="1"/>
  <c r="D1368" i="18"/>
  <c r="G1375" i="18"/>
  <c r="F1496" i="18"/>
  <c r="F1494" i="18"/>
  <c r="E1552" i="18"/>
  <c r="E1558" i="18" s="1"/>
  <c r="D1558" i="18"/>
  <c r="G1800" i="18"/>
  <c r="G1623" i="18"/>
  <c r="D1645" i="18"/>
  <c r="C1647" i="18"/>
  <c r="F1140" i="18"/>
  <c r="C1194" i="18"/>
  <c r="D1187" i="18"/>
  <c r="E1187" i="18" s="1"/>
  <c r="E1194" i="18" s="1"/>
  <c r="C1222" i="18"/>
  <c r="G1223" i="18"/>
  <c r="G1240" i="18"/>
  <c r="D1237" i="18"/>
  <c r="G1292" i="18"/>
  <c r="G1457" i="18" s="1"/>
  <c r="D1286" i="18"/>
  <c r="E1286" i="18" s="1"/>
  <c r="G1290" i="18"/>
  <c r="C1338" i="18"/>
  <c r="F1352" i="18"/>
  <c r="F1457" i="18" s="1"/>
  <c r="F1350" i="18"/>
  <c r="C1393" i="18"/>
  <c r="D1390" i="18"/>
  <c r="E1392" i="18"/>
  <c r="H1449" i="18"/>
  <c r="C1449" i="18"/>
  <c r="D1500" i="18"/>
  <c r="G1515" i="18"/>
  <c r="G1592" i="18"/>
  <c r="D1585" i="18"/>
  <c r="C1625" i="18"/>
  <c r="C1801" i="18" s="1"/>
  <c r="D1618" i="18"/>
  <c r="C1622" i="18"/>
  <c r="F1155" i="18"/>
  <c r="H1170" i="18"/>
  <c r="C1296" i="18"/>
  <c r="D1317" i="18"/>
  <c r="G1321" i="18"/>
  <c r="C1325" i="18"/>
  <c r="D1320" i="18"/>
  <c r="E1320" i="18" s="1"/>
  <c r="E1325" i="18" s="1"/>
  <c r="G1324" i="18"/>
  <c r="C1337" i="18"/>
  <c r="C1335" i="18"/>
  <c r="D1331" i="18"/>
  <c r="D1367" i="18"/>
  <c r="E1359" i="18"/>
  <c r="E1367" i="18" s="1"/>
  <c r="D1377" i="18"/>
  <c r="E1370" i="18"/>
  <c r="F1376" i="18"/>
  <c r="D1391" i="18"/>
  <c r="G1422" i="18"/>
  <c r="D1420" i="18"/>
  <c r="E1420" i="18" s="1"/>
  <c r="E1452" i="18"/>
  <c r="F1450" i="18"/>
  <c r="D1452" i="18"/>
  <c r="D1474" i="18"/>
  <c r="E1474" i="18" s="1"/>
  <c r="D1478" i="18"/>
  <c r="E1478" i="18" s="1"/>
  <c r="G1497" i="18"/>
  <c r="D1489" i="18"/>
  <c r="G1496" i="18"/>
  <c r="G1529" i="18"/>
  <c r="D1524" i="18"/>
  <c r="H1555" i="18"/>
  <c r="H1589" i="18"/>
  <c r="H1594" i="18" s="1"/>
  <c r="G1591" i="18"/>
  <c r="G1306" i="18"/>
  <c r="H1307" i="18"/>
  <c r="E1313" i="18"/>
  <c r="C1378" i="18"/>
  <c r="D1372" i="18"/>
  <c r="G1393" i="18"/>
  <c r="E1396" i="18"/>
  <c r="D1431" i="18"/>
  <c r="E1427" i="18"/>
  <c r="G1449" i="18"/>
  <c r="C1484" i="18"/>
  <c r="D1472" i="18"/>
  <c r="E1472" i="18" s="1"/>
  <c r="D1479" i="18"/>
  <c r="C1481" i="18"/>
  <c r="G1527" i="18"/>
  <c r="D1520" i="18"/>
  <c r="D1539" i="18"/>
  <c r="C1545" i="18"/>
  <c r="C1543" i="18" s="1"/>
  <c r="C1542" i="18"/>
  <c r="C1592" i="18"/>
  <c r="D1579" i="18"/>
  <c r="E1579" i="18" s="1"/>
  <c r="E1584" i="18"/>
  <c r="H1598" i="18"/>
  <c r="D1686" i="18"/>
  <c r="E1685" i="18"/>
  <c r="E1686" i="18" s="1"/>
  <c r="D1705" i="18"/>
  <c r="C1706" i="18"/>
  <c r="E1726" i="18"/>
  <c r="E1727" i="18" s="1"/>
  <c r="D1727" i="18"/>
  <c r="E1757" i="18"/>
  <c r="I1757" i="18" s="1"/>
  <c r="G1335" i="18"/>
  <c r="C1527" i="18"/>
  <c r="D1521" i="18"/>
  <c r="E1521" i="18" s="1"/>
  <c r="E1537" i="18"/>
  <c r="G1556" i="18"/>
  <c r="G1554" i="18"/>
  <c r="D1548" i="18"/>
  <c r="E1550" i="18"/>
  <c r="C1582" i="18"/>
  <c r="D1578" i="18"/>
  <c r="C1591" i="18"/>
  <c r="C1350" i="18"/>
  <c r="G1350" i="18"/>
  <c r="D1417" i="18"/>
  <c r="F1481" i="18"/>
  <c r="D1506" i="18"/>
  <c r="D1538" i="18"/>
  <c r="E1538" i="18" s="1"/>
  <c r="D1546" i="18"/>
  <c r="E1540" i="18"/>
  <c r="E1546" i="18" s="1"/>
  <c r="G1544" i="18"/>
  <c r="G1543" i="18" s="1"/>
  <c r="D1551" i="18"/>
  <c r="E1551" i="18" s="1"/>
  <c r="G1557" i="18"/>
  <c r="G1582" i="18"/>
  <c r="G1587" i="18"/>
  <c r="F1597" i="18"/>
  <c r="C1608" i="18"/>
  <c r="H1608" i="18"/>
  <c r="D1710" i="18"/>
  <c r="E1710" i="18" s="1"/>
  <c r="D1549" i="18"/>
  <c r="E1549" i="18" s="1"/>
  <c r="C1554" i="18"/>
  <c r="D1586" i="18"/>
  <c r="D1606" i="18"/>
  <c r="E1624" i="18"/>
  <c r="D1626" i="18"/>
  <c r="D1650" i="18"/>
  <c r="E1650" i="18" s="1"/>
  <c r="D1682" i="18"/>
  <c r="E1682" i="18" s="1"/>
  <c r="E1683" i="18" s="1"/>
  <c r="C1683" i="18"/>
  <c r="D1693" i="18"/>
  <c r="E1737" i="18"/>
  <c r="D1743" i="18"/>
  <c r="C1750" i="18"/>
  <c r="E1762" i="18"/>
  <c r="C1627" i="18"/>
  <c r="D1621" i="18"/>
  <c r="G1622" i="18"/>
  <c r="H1800" i="18"/>
  <c r="H1623" i="18"/>
  <c r="H1679" i="18"/>
  <c r="D1676" i="18"/>
  <c r="E1676" i="18" s="1"/>
  <c r="E1679" i="18" s="1"/>
  <c r="C1712" i="18"/>
  <c r="E1729" i="18"/>
  <c r="C1741" i="18"/>
  <c r="D1740" i="18"/>
  <c r="D1752" i="18"/>
  <c r="C1759" i="18"/>
  <c r="E1754" i="18"/>
  <c r="I1754" i="18" s="1"/>
  <c r="C1679" i="18"/>
  <c r="D1697" i="18"/>
  <c r="E1697" i="18" s="1"/>
  <c r="E1699" i="18" s="1"/>
  <c r="C1699" i="18"/>
  <c r="D1773" i="18"/>
  <c r="E1773" i="18" s="1"/>
  <c r="C1722" i="18"/>
  <c r="F1456" i="18" l="1"/>
  <c r="G1458" i="18"/>
  <c r="H1457" i="18"/>
  <c r="H1456" i="18" s="1"/>
  <c r="I552" i="18"/>
  <c r="G1277" i="18"/>
  <c r="G1459" i="18"/>
  <c r="H1455" i="18"/>
  <c r="F1455" i="18"/>
  <c r="G1455" i="18"/>
  <c r="G1460" i="18"/>
  <c r="C1460" i="18"/>
  <c r="H1278" i="18"/>
  <c r="F1275" i="18"/>
  <c r="F1279" i="18"/>
  <c r="C1278" i="18"/>
  <c r="H1275" i="18"/>
  <c r="G1278" i="18"/>
  <c r="C1277" i="18"/>
  <c r="C1280" i="18"/>
  <c r="C1275" i="18"/>
  <c r="G1280" i="18"/>
  <c r="G1275" i="18"/>
  <c r="C1279" i="18"/>
  <c r="F1278" i="18"/>
  <c r="H1277" i="18"/>
  <c r="F1072" i="18"/>
  <c r="G963" i="18"/>
  <c r="C1072" i="18"/>
  <c r="G425" i="18"/>
  <c r="H963" i="18"/>
  <c r="H1070" i="18" s="1"/>
  <c r="D1004" i="18"/>
  <c r="D1002" i="18" s="1"/>
  <c r="H965" i="18"/>
  <c r="H964" i="18" s="1"/>
  <c r="F964" i="18"/>
  <c r="E967" i="18"/>
  <c r="C963" i="18"/>
  <c r="C1070" i="18" s="1"/>
  <c r="G965" i="18"/>
  <c r="G964" i="18" s="1"/>
  <c r="G551" i="18"/>
  <c r="E1328" i="18"/>
  <c r="E1337" i="18" s="1"/>
  <c r="D782" i="18"/>
  <c r="H547" i="18"/>
  <c r="D118" i="18"/>
  <c r="D367" i="18"/>
  <c r="D371" i="18" s="1"/>
  <c r="E714" i="18"/>
  <c r="E728" i="18" s="1"/>
  <c r="D728" i="18"/>
  <c r="D727" i="18" s="1"/>
  <c r="H427" i="18"/>
  <c r="H1809" i="18" s="1"/>
  <c r="D648" i="18"/>
  <c r="D429" i="18"/>
  <c r="D1244" i="18"/>
  <c r="H258" i="18"/>
  <c r="I236" i="18"/>
  <c r="H1811" i="18"/>
  <c r="D1794" i="18"/>
  <c r="D1375" i="18"/>
  <c r="D1379" i="18"/>
  <c r="D743" i="18"/>
  <c r="E429" i="18"/>
  <c r="I429" i="18" s="1"/>
  <c r="I977" i="18"/>
  <c r="H549" i="18"/>
  <c r="H548" i="18" s="1"/>
  <c r="E543" i="18"/>
  <c r="E553" i="18" s="1"/>
  <c r="I553" i="18" s="1"/>
  <c r="D553" i="18"/>
  <c r="E730" i="18"/>
  <c r="D541" i="18"/>
  <c r="E1127" i="18"/>
  <c r="G1075" i="18"/>
  <c r="C425" i="18"/>
  <c r="H425" i="18"/>
  <c r="G644" i="18"/>
  <c r="G645" i="18" s="1"/>
  <c r="E1004" i="18"/>
  <c r="D405" i="18"/>
  <c r="E711" i="18"/>
  <c r="F218" i="18"/>
  <c r="D1127" i="18"/>
  <c r="E814" i="18"/>
  <c r="E819" i="18" s="1"/>
  <c r="C1336" i="18"/>
  <c r="D679" i="18"/>
  <c r="G1598" i="18"/>
  <c r="H259" i="18"/>
  <c r="G427" i="18"/>
  <c r="D1450" i="18"/>
  <c r="E459" i="18"/>
  <c r="D795" i="18"/>
  <c r="D1483" i="18"/>
  <c r="G75" i="18"/>
  <c r="F369" i="18"/>
  <c r="F425" i="18"/>
  <c r="F423" i="18"/>
  <c r="F426" i="18"/>
  <c r="E1656" i="18"/>
  <c r="E1343" i="18"/>
  <c r="E1352" i="18" s="1"/>
  <c r="E397" i="18"/>
  <c r="E405" i="18" s="1"/>
  <c r="E1777" i="18"/>
  <c r="C1322" i="18"/>
  <c r="D614" i="18"/>
  <c r="E500" i="18"/>
  <c r="E501" i="18" s="1"/>
  <c r="E1576" i="18"/>
  <c r="H249" i="18"/>
  <c r="D403" i="18"/>
  <c r="E202" i="18"/>
  <c r="D938" i="18"/>
  <c r="E40" i="18"/>
  <c r="E46" i="18" s="1"/>
  <c r="D817" i="18"/>
  <c r="E523" i="18"/>
  <c r="E527" i="18" s="1"/>
  <c r="G1793" i="18"/>
  <c r="C1191" i="18"/>
  <c r="D741" i="18"/>
  <c r="E1296" i="18"/>
  <c r="E885" i="18"/>
  <c r="E895" i="18" s="1"/>
  <c r="E34" i="18"/>
  <c r="F217" i="18"/>
  <c r="D582" i="18"/>
  <c r="D404" i="18"/>
  <c r="H218" i="18"/>
  <c r="E1722" i="18"/>
  <c r="G1141" i="18"/>
  <c r="D1296" i="18"/>
  <c r="D600" i="18"/>
  <c r="E1013" i="18"/>
  <c r="E1353" i="18"/>
  <c r="E1794" i="18"/>
  <c r="I1794" i="18" s="1"/>
  <c r="E741" i="18"/>
  <c r="D363" i="18"/>
  <c r="D370" i="18" s="1"/>
  <c r="E114" i="18"/>
  <c r="E192" i="18"/>
  <c r="G221" i="18"/>
  <c r="F1793" i="18"/>
  <c r="F1802" i="18" s="1"/>
  <c r="E1712" i="18"/>
  <c r="D1722" i="18"/>
  <c r="D784" i="18"/>
  <c r="D1172" i="18"/>
  <c r="E720" i="18"/>
  <c r="E729" i="18" s="1"/>
  <c r="C644" i="18"/>
  <c r="C645" i="18" s="1"/>
  <c r="E223" i="18"/>
  <c r="E573" i="18"/>
  <c r="D1128" i="18"/>
  <c r="G223" i="18"/>
  <c r="G1811" i="18" s="1"/>
  <c r="G217" i="18"/>
  <c r="E363" i="18"/>
  <c r="E370" i="18" s="1"/>
  <c r="D202" i="18"/>
  <c r="D711" i="18"/>
  <c r="D192" i="18"/>
  <c r="F742" i="18"/>
  <c r="D1611" i="18"/>
  <c r="E263" i="18"/>
  <c r="I263" i="18" s="1"/>
  <c r="I252" i="18"/>
  <c r="D220" i="18"/>
  <c r="E257" i="18"/>
  <c r="I257" i="18" s="1"/>
  <c r="I255" i="18"/>
  <c r="E856" i="18"/>
  <c r="E1483" i="18"/>
  <c r="D602" i="18"/>
  <c r="E1244" i="18"/>
  <c r="G742" i="18"/>
  <c r="D573" i="18"/>
  <c r="D459" i="18"/>
  <c r="D1576" i="18"/>
  <c r="D1225" i="18"/>
  <c r="D828" i="18"/>
  <c r="H76" i="18"/>
  <c r="G348" i="18"/>
  <c r="D1535" i="18"/>
  <c r="D1037" i="18"/>
  <c r="C75" i="18"/>
  <c r="G765" i="18"/>
  <c r="H504" i="18"/>
  <c r="E439" i="18"/>
  <c r="D1609" i="18"/>
  <c r="G1212" i="18"/>
  <c r="E1602" i="18"/>
  <c r="E1610" i="18" s="1"/>
  <c r="E1731" i="18"/>
  <c r="C1526" i="18"/>
  <c r="E1431" i="18"/>
  <c r="D1323" i="18"/>
  <c r="D1213" i="18"/>
  <c r="D1222" i="18"/>
  <c r="C966" i="18"/>
  <c r="C1073" i="18" s="1"/>
  <c r="D1262" i="18"/>
  <c r="C869" i="18"/>
  <c r="E679" i="18"/>
  <c r="D455" i="18"/>
  <c r="G1608" i="18"/>
  <c r="G162" i="18"/>
  <c r="D1013" i="18"/>
  <c r="G950" i="18"/>
  <c r="G1810" i="18"/>
  <c r="F1514" i="18"/>
  <c r="D1731" i="18"/>
  <c r="D1591" i="18"/>
  <c r="D1335" i="18"/>
  <c r="C1291" i="18"/>
  <c r="G646" i="18"/>
  <c r="E446" i="18"/>
  <c r="E1262" i="18"/>
  <c r="G1482" i="18"/>
  <c r="E384" i="18"/>
  <c r="D1353" i="18"/>
  <c r="D1351" i="18" s="1"/>
  <c r="G402" i="18"/>
  <c r="E1349" i="18"/>
  <c r="E1354" i="18" s="1"/>
  <c r="D856" i="18"/>
  <c r="C599" i="18"/>
  <c r="C1482" i="18"/>
  <c r="D1683" i="18"/>
  <c r="G1589" i="18"/>
  <c r="G1594" i="18" s="1"/>
  <c r="D1211" i="18"/>
  <c r="G1514" i="18"/>
  <c r="D1174" i="18"/>
  <c r="C1125" i="18"/>
  <c r="D1170" i="18"/>
  <c r="E949" i="18"/>
  <c r="D613" i="18"/>
  <c r="G381" i="18"/>
  <c r="E539" i="18"/>
  <c r="D41" i="18"/>
  <c r="D164" i="18"/>
  <c r="D537" i="18"/>
  <c r="E1012" i="18"/>
  <c r="C402" i="18"/>
  <c r="G368" i="18"/>
  <c r="D1063" i="18"/>
  <c r="C221" i="18"/>
  <c r="G80" i="18"/>
  <c r="G76" i="18" s="1"/>
  <c r="D44" i="18"/>
  <c r="E1222" i="18"/>
  <c r="C1108" i="18"/>
  <c r="F1070" i="18"/>
  <c r="G868" i="18"/>
  <c r="C598" i="18"/>
  <c r="E1106" i="18"/>
  <c r="E1111" i="18" s="1"/>
  <c r="D566" i="18"/>
  <c r="D726" i="18"/>
  <c r="D1109" i="18"/>
  <c r="E1213" i="18"/>
  <c r="D1642" i="18"/>
  <c r="G1495" i="18"/>
  <c r="G1291" i="18"/>
  <c r="D1274" i="18"/>
  <c r="C1156" i="18"/>
  <c r="D952" i="18"/>
  <c r="C646" i="18"/>
  <c r="E191" i="18"/>
  <c r="D216" i="18"/>
  <c r="E809" i="18"/>
  <c r="E808" i="18" s="1"/>
  <c r="E250" i="18"/>
  <c r="C161" i="18"/>
  <c r="C217" i="18" s="1"/>
  <c r="C867" i="18"/>
  <c r="F76" i="18"/>
  <c r="D949" i="18"/>
  <c r="F1596" i="18"/>
  <c r="F1595" i="18" s="1"/>
  <c r="F1590" i="18"/>
  <c r="E983" i="18"/>
  <c r="I983" i="18" s="1"/>
  <c r="I978" i="18"/>
  <c r="E888" i="18"/>
  <c r="E896" i="18" s="1"/>
  <c r="D896" i="18"/>
  <c r="F1212" i="18"/>
  <c r="G1073" i="18"/>
  <c r="E863" i="18"/>
  <c r="D863" i="18"/>
  <c r="F1809" i="18"/>
  <c r="F504" i="18"/>
  <c r="E84" i="18"/>
  <c r="E89" i="18" s="1"/>
  <c r="D89" i="18"/>
  <c r="C1713" i="18"/>
  <c r="G1526" i="18"/>
  <c r="C1459" i="18"/>
  <c r="G1191" i="18"/>
  <c r="D1226" i="18"/>
  <c r="F808" i="18"/>
  <c r="F866" i="18"/>
  <c r="E1225" i="18"/>
  <c r="E1223" i="18" s="1"/>
  <c r="H868" i="18"/>
  <c r="F868" i="18"/>
  <c r="F765" i="18"/>
  <c r="E659" i="18"/>
  <c r="E660" i="18" s="1"/>
  <c r="D660" i="18"/>
  <c r="G249" i="18"/>
  <c r="C691" i="18"/>
  <c r="C868" i="18"/>
  <c r="E285" i="18"/>
  <c r="E287" i="18"/>
  <c r="E286" i="18" s="1"/>
  <c r="D783" i="18"/>
  <c r="E774" i="18"/>
  <c r="E639" i="18"/>
  <c r="D643" i="18"/>
  <c r="D647" i="18"/>
  <c r="D156" i="18"/>
  <c r="E154" i="18"/>
  <c r="E156" i="18" s="1"/>
  <c r="E1148" i="18"/>
  <c r="E1157" i="18" s="1"/>
  <c r="D1155" i="18"/>
  <c r="E976" i="18"/>
  <c r="E982" i="18" s="1"/>
  <c r="I975" i="18"/>
  <c r="D505" i="18"/>
  <c r="D1777" i="18"/>
  <c r="E1705" i="18"/>
  <c r="E1706" i="18" s="1"/>
  <c r="D1706" i="18"/>
  <c r="E1510" i="18"/>
  <c r="E1517" i="18" s="1"/>
  <c r="D780" i="18"/>
  <c r="C864" i="18"/>
  <c r="E271" i="18"/>
  <c r="E274" i="18" s="1"/>
  <c r="D274" i="18"/>
  <c r="D163" i="18"/>
  <c r="E1398" i="18"/>
  <c r="D1398" i="18"/>
  <c r="F1495" i="18"/>
  <c r="E950" i="18"/>
  <c r="F864" i="18"/>
  <c r="H864" i="18"/>
  <c r="G503" i="18"/>
  <c r="E1063" i="18"/>
  <c r="C503" i="18"/>
  <c r="E182" i="18"/>
  <c r="E189" i="18" s="1"/>
  <c r="D1365" i="18"/>
  <c r="C1212" i="18"/>
  <c r="C1141" i="18"/>
  <c r="C1074" i="18"/>
  <c r="E1292" i="18"/>
  <c r="H1075" i="18"/>
  <c r="C894" i="18"/>
  <c r="G708" i="18"/>
  <c r="D507" i="18"/>
  <c r="E1128" i="18"/>
  <c r="E795" i="18"/>
  <c r="E625" i="18"/>
  <c r="D601" i="18"/>
  <c r="E164" i="18"/>
  <c r="E993" i="18"/>
  <c r="H691" i="18"/>
  <c r="D523" i="18"/>
  <c r="D527" i="18" s="1"/>
  <c r="D551" i="18" s="1"/>
  <c r="C323" i="18"/>
  <c r="C348" i="18" s="1"/>
  <c r="E1033" i="18"/>
  <c r="E1040" i="18" s="1"/>
  <c r="G259" i="18"/>
  <c r="C42" i="18"/>
  <c r="E129" i="18"/>
  <c r="E922" i="18"/>
  <c r="D1350" i="18"/>
  <c r="D807" i="18"/>
  <c r="E1274" i="18"/>
  <c r="F547" i="18"/>
  <c r="E352" i="18"/>
  <c r="H525" i="18"/>
  <c r="E1768" i="18"/>
  <c r="C1458" i="18"/>
  <c r="G1336" i="18"/>
  <c r="D1035" i="18"/>
  <c r="D1712" i="18"/>
  <c r="D1768" i="18"/>
  <c r="D1557" i="18"/>
  <c r="C1597" i="18"/>
  <c r="C1455" i="18"/>
  <c r="D1325" i="18"/>
  <c r="C1307" i="18"/>
  <c r="F1171" i="18"/>
  <c r="D152" i="18"/>
  <c r="E828" i="18"/>
  <c r="H676" i="18"/>
  <c r="D148" i="18"/>
  <c r="E72" i="18"/>
  <c r="E301" i="18"/>
  <c r="E302" i="18" s="1"/>
  <c r="G71" i="18"/>
  <c r="D744" i="18"/>
  <c r="C1514" i="18"/>
  <c r="D1498" i="18"/>
  <c r="E1493" i="18"/>
  <c r="E1498" i="18" s="1"/>
  <c r="D810" i="18"/>
  <c r="D808" i="18" s="1"/>
  <c r="G727" i="18"/>
  <c r="D333" i="18"/>
  <c r="E330" i="18"/>
  <c r="E333" i="18" s="1"/>
  <c r="E526" i="18"/>
  <c r="E1752" i="18"/>
  <c r="E1759" i="18" s="1"/>
  <c r="D1759" i="18"/>
  <c r="D1627" i="18"/>
  <c r="E1621" i="18"/>
  <c r="E1627" i="18" s="1"/>
  <c r="E1743" i="18"/>
  <c r="E1750" i="18" s="1"/>
  <c r="D1750" i="18"/>
  <c r="E1586" i="18"/>
  <c r="E1593" i="18" s="1"/>
  <c r="E1598" i="18" s="1"/>
  <c r="D1593" i="18"/>
  <c r="D1598" i="18" s="1"/>
  <c r="C1596" i="18"/>
  <c r="C1590" i="18"/>
  <c r="D1527" i="18"/>
  <c r="D1525" i="18"/>
  <c r="E1520" i="18"/>
  <c r="D1126" i="18"/>
  <c r="E1115" i="18"/>
  <c r="D1124" i="18"/>
  <c r="D1190" i="18"/>
  <c r="E1178" i="18"/>
  <c r="D1192" i="18"/>
  <c r="C1075" i="18"/>
  <c r="E937" i="18"/>
  <c r="E936" i="18" s="1"/>
  <c r="E935" i="18"/>
  <c r="D881" i="18"/>
  <c r="E879" i="18"/>
  <c r="E881" i="18" s="1"/>
  <c r="E455" i="18"/>
  <c r="E1045" i="18"/>
  <c r="E972" i="18"/>
  <c r="E973" i="18" s="1"/>
  <c r="E314" i="18"/>
  <c r="E318" i="18" s="1"/>
  <c r="D318" i="18"/>
  <c r="E29" i="18"/>
  <c r="E791" i="18"/>
  <c r="E797" i="18" s="1"/>
  <c r="D797" i="18"/>
  <c r="D1528" i="18"/>
  <c r="E1523" i="18"/>
  <c r="E1528" i="18" s="1"/>
  <c r="E478" i="18"/>
  <c r="E480" i="18" s="1"/>
  <c r="D480" i="18"/>
  <c r="D351" i="18"/>
  <c r="I222" i="18"/>
  <c r="E671" i="18"/>
  <c r="E678" i="18" s="1"/>
  <c r="D678" i="18"/>
  <c r="E1740" i="18"/>
  <c r="E1741" i="18" s="1"/>
  <c r="D1741" i="18"/>
  <c r="D1612" i="18"/>
  <c r="E1606" i="18"/>
  <c r="E1612" i="18" s="1"/>
  <c r="D1554" i="18"/>
  <c r="D1556" i="18"/>
  <c r="E1548" i="18"/>
  <c r="D1542" i="18"/>
  <c r="C1457" i="18"/>
  <c r="E1317" i="18"/>
  <c r="E1324" i="18" s="1"/>
  <c r="D1324" i="18"/>
  <c r="E1500" i="18"/>
  <c r="E1515" i="18" s="1"/>
  <c r="D1515" i="18"/>
  <c r="E1645" i="18"/>
  <c r="E1647" i="18" s="1"/>
  <c r="D1647" i="18"/>
  <c r="D1235" i="18"/>
  <c r="E1235" i="18"/>
  <c r="E1173" i="18"/>
  <c r="E816" i="18"/>
  <c r="E820" i="18" s="1"/>
  <c r="D820" i="18"/>
  <c r="D818" i="18" s="1"/>
  <c r="D1293" i="18"/>
  <c r="E1288" i="18"/>
  <c r="E1293" i="18" s="1"/>
  <c r="D1157" i="18"/>
  <c r="D1292" i="18"/>
  <c r="C426" i="18"/>
  <c r="C349" i="18"/>
  <c r="E1109" i="18"/>
  <c r="G524" i="18"/>
  <c r="G526" i="18"/>
  <c r="G549" i="18" s="1"/>
  <c r="D380" i="18"/>
  <c r="E374" i="18"/>
  <c r="E310" i="18"/>
  <c r="E311" i="18" s="1"/>
  <c r="D311" i="18"/>
  <c r="C223" i="18"/>
  <c r="C1811" i="18" s="1"/>
  <c r="E892" i="18"/>
  <c r="E897" i="18" s="1"/>
  <c r="D897" i="18"/>
  <c r="D73" i="18"/>
  <c r="E60" i="18"/>
  <c r="D62" i="18"/>
  <c r="D70" i="18" s="1"/>
  <c r="D1699" i="18"/>
  <c r="C1623" i="18"/>
  <c r="C1589" i="18"/>
  <c r="C1594" i="18" s="1"/>
  <c r="D1587" i="18"/>
  <c r="E1484" i="18"/>
  <c r="C1376" i="18"/>
  <c r="D1529" i="18"/>
  <c r="E1524" i="18"/>
  <c r="E1529" i="18" s="1"/>
  <c r="D1497" i="18"/>
  <c r="E1489" i="18"/>
  <c r="E1497" i="18" s="1"/>
  <c r="E1331" i="18"/>
  <c r="E1338" i="18" s="1"/>
  <c r="D1338" i="18"/>
  <c r="D1309" i="18"/>
  <c r="D1481" i="18"/>
  <c r="H1793" i="18"/>
  <c r="D1679" i="18"/>
  <c r="C1760" i="18"/>
  <c r="E1800" i="18"/>
  <c r="I1800" i="18" s="1"/>
  <c r="E1609" i="18"/>
  <c r="E1557" i="18"/>
  <c r="G1555" i="18"/>
  <c r="E1539" i="18"/>
  <c r="E1545" i="18" s="1"/>
  <c r="D1545" i="18"/>
  <c r="E1372" i="18"/>
  <c r="E1378" i="18" s="1"/>
  <c r="D1378" i="18"/>
  <c r="D1321" i="18"/>
  <c r="E1391" i="18"/>
  <c r="G1597" i="18"/>
  <c r="E1237" i="18"/>
  <c r="E1240" i="18" s="1"/>
  <c r="D1240" i="18"/>
  <c r="D1310" i="18"/>
  <c r="D1215" i="18"/>
  <c r="E1027" i="18"/>
  <c r="D1038" i="18"/>
  <c r="E1488" i="18"/>
  <c r="D1496" i="18"/>
  <c r="D1494" i="18"/>
  <c r="E1448" i="18"/>
  <c r="E1451" i="18"/>
  <c r="E1450" i="18" s="1"/>
  <c r="D1193" i="18"/>
  <c r="E1183" i="18"/>
  <c r="E1193" i="18" s="1"/>
  <c r="H1013" i="18"/>
  <c r="H1073" i="18"/>
  <c r="H980" i="18"/>
  <c r="E1788" i="18"/>
  <c r="E1791" i="18" s="1"/>
  <c r="E1792" i="18" s="1"/>
  <c r="D1791" i="18"/>
  <c r="D1792" i="18" s="1"/>
  <c r="E1568" i="18"/>
  <c r="E1571" i="18" s="1"/>
  <c r="D1571" i="18"/>
  <c r="E1172" i="18"/>
  <c r="E1170" i="18"/>
  <c r="E906" i="18"/>
  <c r="E911" i="18" s="1"/>
  <c r="D911" i="18"/>
  <c r="D908" i="18" s="1"/>
  <c r="G864" i="18"/>
  <c r="G869" i="18"/>
  <c r="D767" i="18"/>
  <c r="D422" i="18"/>
  <c r="D401" i="18"/>
  <c r="G981" i="18"/>
  <c r="G979" i="18"/>
  <c r="D907" i="18"/>
  <c r="D993" i="18"/>
  <c r="D1001" i="18" s="1"/>
  <c r="H818" i="18"/>
  <c r="H867" i="18"/>
  <c r="I788" i="18"/>
  <c r="D637" i="18"/>
  <c r="D603" i="18"/>
  <c r="E559" i="18"/>
  <c r="E603" i="18" s="1"/>
  <c r="C526" i="18"/>
  <c r="C524" i="18"/>
  <c r="C371" i="18"/>
  <c r="C369" i="18" s="1"/>
  <c r="C368" i="18"/>
  <c r="E148" i="18"/>
  <c r="D182" i="18"/>
  <c r="D189" i="18" s="1"/>
  <c r="C77" i="18"/>
  <c r="C76" i="18" s="1"/>
  <c r="E1382" i="18"/>
  <c r="D1388" i="18"/>
  <c r="E743" i="18"/>
  <c r="D677" i="18"/>
  <c r="D692" i="18"/>
  <c r="D690" i="18"/>
  <c r="E683" i="18"/>
  <c r="D545" i="18"/>
  <c r="E496" i="18"/>
  <c r="E498" i="18" s="1"/>
  <c r="D498" i="18"/>
  <c r="E371" i="18"/>
  <c r="D935" i="18"/>
  <c r="H369" i="18"/>
  <c r="D251" i="18"/>
  <c r="D261" i="18"/>
  <c r="E239" i="18"/>
  <c r="D1107" i="18"/>
  <c r="E464" i="18"/>
  <c r="E466" i="18" s="1"/>
  <c r="D466" i="18"/>
  <c r="C381" i="18"/>
  <c r="H323" i="18"/>
  <c r="H348" i="18" s="1"/>
  <c r="H423" i="18" s="1"/>
  <c r="E247" i="18"/>
  <c r="E253" i="18" s="1"/>
  <c r="D253" i="18"/>
  <c r="D264" i="18" s="1"/>
  <c r="E61" i="18"/>
  <c r="E74" i="18" s="1"/>
  <c r="D74" i="18"/>
  <c r="D80" i="18" s="1"/>
  <c r="D43" i="18"/>
  <c r="E37" i="18"/>
  <c r="D94" i="18"/>
  <c r="E744" i="18"/>
  <c r="E403" i="18"/>
  <c r="D1422" i="18"/>
  <c r="E1417" i="18"/>
  <c r="E1422" i="18" s="1"/>
  <c r="E1544" i="18"/>
  <c r="D1625" i="18"/>
  <c r="E1618" i="18"/>
  <c r="D1622" i="18"/>
  <c r="E1364" i="18"/>
  <c r="E1366" i="18"/>
  <c r="E1365" i="18" s="1"/>
  <c r="F1073" i="18"/>
  <c r="F1013" i="18"/>
  <c r="D1449" i="18"/>
  <c r="C1036" i="18"/>
  <c r="E750" i="18"/>
  <c r="E759" i="18" s="1"/>
  <c r="D759" i="18"/>
  <c r="F525" i="18"/>
  <c r="E677" i="18"/>
  <c r="E416" i="18"/>
  <c r="D417" i="18"/>
  <c r="D353" i="18"/>
  <c r="D428" i="18" s="1"/>
  <c r="E327" i="18"/>
  <c r="E328" i="18" s="1"/>
  <c r="E830" i="18"/>
  <c r="D832" i="18"/>
  <c r="E1561" i="18"/>
  <c r="E1566" i="18" s="1"/>
  <c r="D1566" i="18"/>
  <c r="E345" i="18"/>
  <c r="E347" i="18" s="1"/>
  <c r="D347" i="18"/>
  <c r="C260" i="18"/>
  <c r="C259" i="18" s="1"/>
  <c r="C249" i="18"/>
  <c r="D766" i="18"/>
  <c r="E761" i="18"/>
  <c r="D763" i="18"/>
  <c r="E630" i="18"/>
  <c r="E648" i="18" s="1"/>
  <c r="I648" i="18" s="1"/>
  <c r="E461" i="18"/>
  <c r="E462" i="18" s="1"/>
  <c r="D462" i="18"/>
  <c r="D322" i="18"/>
  <c r="E320" i="18"/>
  <c r="E322" i="18" s="1"/>
  <c r="G349" i="18"/>
  <c r="D1290" i="18"/>
  <c r="D1582" i="18"/>
  <c r="E1578" i="18"/>
  <c r="E1582" i="18" s="1"/>
  <c r="E1479" i="18"/>
  <c r="D1485" i="18"/>
  <c r="E1377" i="18"/>
  <c r="G1322" i="18"/>
  <c r="D1607" i="18"/>
  <c r="E1390" i="18"/>
  <c r="D1393" i="18"/>
  <c r="F1351" i="18"/>
  <c r="E1214" i="18"/>
  <c r="E1211" i="18"/>
  <c r="D1140" i="18"/>
  <c r="E1132" i="18"/>
  <c r="D1142" i="18"/>
  <c r="C1495" i="18"/>
  <c r="D962" i="18"/>
  <c r="D519" i="18"/>
  <c r="H1595" i="18"/>
  <c r="E1066" i="18"/>
  <c r="E1069" i="18" s="1"/>
  <c r="D1069" i="18"/>
  <c r="D1214" i="18"/>
  <c r="E909" i="18"/>
  <c r="E874" i="18"/>
  <c r="E877" i="18" s="1"/>
  <c r="D877" i="18"/>
  <c r="D506" i="18"/>
  <c r="D550" i="18" s="1"/>
  <c r="D413" i="18"/>
  <c r="E409" i="18"/>
  <c r="E1138" i="18"/>
  <c r="E1144" i="18" s="1"/>
  <c r="D1144" i="18"/>
  <c r="E1085" i="18"/>
  <c r="E1086" i="18"/>
  <c r="G866" i="18"/>
  <c r="E601" i="18"/>
  <c r="D973" i="18"/>
  <c r="D792" i="18"/>
  <c r="E786" i="18"/>
  <c r="I786" i="18" s="1"/>
  <c r="D794" i="18"/>
  <c r="D250" i="18"/>
  <c r="E1506" i="18"/>
  <c r="D1516" i="18"/>
  <c r="D1512" i="18"/>
  <c r="D1513" i="18" s="1"/>
  <c r="D1656" i="18"/>
  <c r="D1544" i="18"/>
  <c r="E1323" i="18"/>
  <c r="G1596" i="18"/>
  <c r="G1590" i="18"/>
  <c r="D1592" i="18"/>
  <c r="E1585" i="18"/>
  <c r="E1592" i="18" s="1"/>
  <c r="D1339" i="18"/>
  <c r="E1310" i="18"/>
  <c r="E1299" i="18"/>
  <c r="D1308" i="18"/>
  <c r="D1306" i="18"/>
  <c r="D1143" i="18"/>
  <c r="E1134" i="18"/>
  <c r="E1143" i="18" s="1"/>
  <c r="D1194" i="18"/>
  <c r="E796" i="18"/>
  <c r="I796" i="18" s="1"/>
  <c r="I790" i="18"/>
  <c r="E687" i="18"/>
  <c r="E693" i="18" s="1"/>
  <c r="D693" i="18"/>
  <c r="D1173" i="18"/>
  <c r="D694" i="18"/>
  <c r="E688" i="18"/>
  <c r="E694" i="18" s="1"/>
  <c r="G1171" i="18"/>
  <c r="E999" i="18"/>
  <c r="E1003" i="18"/>
  <c r="H950" i="18"/>
  <c r="D939" i="18"/>
  <c r="D967" i="18" s="1"/>
  <c r="H866" i="18"/>
  <c r="E767" i="18"/>
  <c r="E614" i="18"/>
  <c r="C550" i="18"/>
  <c r="C504" i="18"/>
  <c r="E469" i="18"/>
  <c r="E471" i="18" s="1"/>
  <c r="D471" i="18"/>
  <c r="D446" i="18"/>
  <c r="E960" i="18"/>
  <c r="E966" i="18" s="1"/>
  <c r="D937" i="18"/>
  <c r="D965" i="18" s="1"/>
  <c r="D893" i="18"/>
  <c r="D650" i="18"/>
  <c r="E636" i="18"/>
  <c r="E650" i="18" s="1"/>
  <c r="I650" i="18" s="1"/>
  <c r="E600" i="18"/>
  <c r="D328" i="18"/>
  <c r="H349" i="18"/>
  <c r="E1410" i="18"/>
  <c r="E1415" i="18" s="1"/>
  <c r="D1415" i="18"/>
  <c r="D982" i="18"/>
  <c r="D675" i="18"/>
  <c r="D1484" i="18"/>
  <c r="G867" i="18"/>
  <c r="E612" i="18"/>
  <c r="E615" i="18" s="1"/>
  <c r="D615" i="18"/>
  <c r="G504" i="18"/>
  <c r="E473" i="18"/>
  <c r="E475" i="18" s="1"/>
  <c r="D475" i="18"/>
  <c r="E807" i="18"/>
  <c r="D384" i="18"/>
  <c r="D248" i="18"/>
  <c r="D299" i="18"/>
  <c r="E297" i="18"/>
  <c r="D1110" i="18"/>
  <c r="E697" i="18"/>
  <c r="D707" i="18"/>
  <c r="D709" i="18"/>
  <c r="E304" i="18"/>
  <c r="E306" i="18" s="1"/>
  <c r="D306" i="18"/>
  <c r="D352" i="18"/>
  <c r="D129" i="18"/>
  <c r="C190" i="18"/>
  <c r="E94" i="18"/>
  <c r="E1153" i="18"/>
  <c r="E1159" i="18" s="1"/>
  <c r="D1159" i="18"/>
  <c r="E445" i="18"/>
  <c r="D191" i="18"/>
  <c r="C793" i="18"/>
  <c r="C866" i="18"/>
  <c r="D350" i="18"/>
  <c r="D286" i="18"/>
  <c r="E1459" i="18" l="1"/>
  <c r="I1459" i="18" s="1"/>
  <c r="G1456" i="18"/>
  <c r="D1457" i="18"/>
  <c r="D1455" i="18"/>
  <c r="D1460" i="18"/>
  <c r="D1459" i="18"/>
  <c r="D966" i="18"/>
  <c r="D964" i="18" s="1"/>
  <c r="H1276" i="18"/>
  <c r="D1458" i="18"/>
  <c r="E1460" i="18"/>
  <c r="E1458" i="18"/>
  <c r="I1458" i="18" s="1"/>
  <c r="E1279" i="18"/>
  <c r="I1279" i="18" s="1"/>
  <c r="D1279" i="18"/>
  <c r="F1276" i="18"/>
  <c r="D1278" i="18"/>
  <c r="D1277" i="18"/>
  <c r="G1276" i="18"/>
  <c r="E1278" i="18"/>
  <c r="I1278" i="18" s="1"/>
  <c r="E1280" i="18"/>
  <c r="D1280" i="18"/>
  <c r="D1275" i="18"/>
  <c r="C1276" i="18"/>
  <c r="G1072" i="18"/>
  <c r="G1071" i="18" s="1"/>
  <c r="D963" i="18"/>
  <c r="H1072" i="18"/>
  <c r="H1071" i="18" s="1"/>
  <c r="E965" i="18"/>
  <c r="E964" i="18" s="1"/>
  <c r="G547" i="18"/>
  <c r="E545" i="18"/>
  <c r="I1127" i="18"/>
  <c r="E221" i="18"/>
  <c r="I1128" i="18"/>
  <c r="F1071" i="18"/>
  <c r="I795" i="18"/>
  <c r="E726" i="18"/>
  <c r="D402" i="18"/>
  <c r="E541" i="18"/>
  <c r="C1808" i="18"/>
  <c r="E1002" i="18"/>
  <c r="D742" i="18"/>
  <c r="D950" i="18"/>
  <c r="D1376" i="18"/>
  <c r="G1799" i="18"/>
  <c r="E1351" i="18"/>
  <c r="E369" i="18"/>
  <c r="D598" i="18"/>
  <c r="D425" i="18"/>
  <c r="E368" i="18"/>
  <c r="D1291" i="18"/>
  <c r="E817" i="18"/>
  <c r="D426" i="18"/>
  <c r="E727" i="18"/>
  <c r="D369" i="18"/>
  <c r="E80" i="18"/>
  <c r="I80" i="18" s="1"/>
  <c r="E676" i="18"/>
  <c r="D368" i="18"/>
  <c r="H1799" i="18"/>
  <c r="D1223" i="18"/>
  <c r="E427" i="18"/>
  <c r="I427" i="18" s="1"/>
  <c r="D381" i="18"/>
  <c r="D427" i="18"/>
  <c r="D42" i="18"/>
  <c r="H1807" i="18"/>
  <c r="H1806" i="18" s="1"/>
  <c r="D162" i="18"/>
  <c r="C427" i="18"/>
  <c r="C1798" i="18" s="1"/>
  <c r="E524" i="18"/>
  <c r="E401" i="18"/>
  <c r="G424" i="18"/>
  <c r="E1713" i="18"/>
  <c r="E402" i="18"/>
  <c r="D676" i="18"/>
  <c r="D781" i="18"/>
  <c r="E161" i="18"/>
  <c r="E217" i="18" s="1"/>
  <c r="D708" i="18"/>
  <c r="D599" i="18"/>
  <c r="D1482" i="18"/>
  <c r="D644" i="18"/>
  <c r="D645" i="18" s="1"/>
  <c r="D78" i="18"/>
  <c r="G423" i="18"/>
  <c r="D1108" i="18"/>
  <c r="D1608" i="18"/>
  <c r="G218" i="18"/>
  <c r="E264" i="18"/>
  <c r="I264" i="18" s="1"/>
  <c r="I253" i="18"/>
  <c r="F1795" i="18"/>
  <c r="D219" i="18"/>
  <c r="C218" i="18"/>
  <c r="D223" i="18"/>
  <c r="D1811" i="18" s="1"/>
  <c r="E190" i="18"/>
  <c r="E1001" i="18"/>
  <c r="E1108" i="18"/>
  <c r="C1799" i="18"/>
  <c r="D894" i="18"/>
  <c r="E260" i="18"/>
  <c r="I260" i="18" s="1"/>
  <c r="I250" i="18"/>
  <c r="D221" i="18"/>
  <c r="E220" i="18"/>
  <c r="I220" i="18" s="1"/>
  <c r="E869" i="18"/>
  <c r="I869" i="18" s="1"/>
  <c r="E163" i="18"/>
  <c r="E162" i="18" s="1"/>
  <c r="C964" i="18"/>
  <c r="E1542" i="18"/>
  <c r="G1070" i="18"/>
  <c r="D77" i="18"/>
  <c r="E613" i="18"/>
  <c r="D1074" i="18"/>
  <c r="E868" i="18"/>
  <c r="I868" i="18" s="1"/>
  <c r="E1212" i="18"/>
  <c r="E1543" i="18"/>
  <c r="E1449" i="18"/>
  <c r="D1036" i="18"/>
  <c r="D75" i="18"/>
  <c r="E894" i="18"/>
  <c r="E1107" i="18"/>
  <c r="D1171" i="18"/>
  <c r="D503" i="18"/>
  <c r="E818" i="18"/>
  <c r="E637" i="18"/>
  <c r="I976" i="18"/>
  <c r="F1807" i="18"/>
  <c r="F1806" i="18" s="1"/>
  <c r="F1799" i="18"/>
  <c r="D1555" i="18"/>
  <c r="C547" i="18"/>
  <c r="E1376" i="18"/>
  <c r="D1810" i="18"/>
  <c r="D867" i="18"/>
  <c r="E1074" i="18"/>
  <c r="I1074" i="18" s="1"/>
  <c r="D1322" i="18"/>
  <c r="D1526" i="18"/>
  <c r="E1350" i="18"/>
  <c r="D1713" i="18"/>
  <c r="E780" i="18"/>
  <c r="E783" i="18"/>
  <c r="E781" i="18" s="1"/>
  <c r="E599" i="18"/>
  <c r="D1336" i="18"/>
  <c r="D1212" i="18"/>
  <c r="D764" i="18"/>
  <c r="D864" i="18" s="1"/>
  <c r="D161" i="18"/>
  <c r="D217" i="18" s="1"/>
  <c r="E350" i="18"/>
  <c r="E561" i="18"/>
  <c r="E598" i="18" s="1"/>
  <c r="D1307" i="18"/>
  <c r="E1597" i="18"/>
  <c r="E1322" i="18"/>
  <c r="F1805" i="18"/>
  <c r="E1291" i="18"/>
  <c r="C1456" i="18"/>
  <c r="I791" i="18"/>
  <c r="I1752" i="18"/>
  <c r="F865" i="18"/>
  <c r="H865" i="18"/>
  <c r="E907" i="18"/>
  <c r="E675" i="18"/>
  <c r="F1798" i="18"/>
  <c r="D1156" i="18"/>
  <c r="C865" i="18"/>
  <c r="H1798" i="18"/>
  <c r="D1597" i="18"/>
  <c r="E1321" i="18"/>
  <c r="D866" i="18"/>
  <c r="E893" i="18"/>
  <c r="C423" i="18"/>
  <c r="C1793" i="18"/>
  <c r="C1802" i="18" s="1"/>
  <c r="I797" i="18"/>
  <c r="C1071" i="18"/>
  <c r="E643" i="18"/>
  <c r="E647" i="18"/>
  <c r="F1797" i="18"/>
  <c r="E832" i="18"/>
  <c r="H1795" i="18"/>
  <c r="H1802" i="18"/>
  <c r="G1809" i="18"/>
  <c r="G525" i="18"/>
  <c r="G1807" i="18"/>
  <c r="E979" i="18"/>
  <c r="E981" i="18"/>
  <c r="E506" i="18"/>
  <c r="E550" i="18" s="1"/>
  <c r="I550" i="18" s="1"/>
  <c r="D1125" i="18"/>
  <c r="D1760" i="18"/>
  <c r="I1759" i="18"/>
  <c r="E1308" i="18"/>
  <c r="E1307" i="18" s="1"/>
  <c r="E1306" i="18"/>
  <c r="D981" i="18"/>
  <c r="D1072" i="18" s="1"/>
  <c r="D979" i="18"/>
  <c r="I973" i="18"/>
  <c r="D504" i="18"/>
  <c r="D1141" i="18"/>
  <c r="D691" i="18"/>
  <c r="E1388" i="18"/>
  <c r="E1038" i="18"/>
  <c r="E1036" i="18" s="1"/>
  <c r="E1035" i="18"/>
  <c r="D868" i="18"/>
  <c r="D349" i="18"/>
  <c r="I972" i="18"/>
  <c r="C1595" i="18"/>
  <c r="D1590" i="18"/>
  <c r="D646" i="18"/>
  <c r="E505" i="18"/>
  <c r="E549" i="18" s="1"/>
  <c r="I549" i="18" s="1"/>
  <c r="E1155" i="18"/>
  <c r="H424" i="18"/>
  <c r="H1808" i="18"/>
  <c r="D936" i="18"/>
  <c r="D1543" i="18"/>
  <c r="E1516" i="18"/>
  <c r="E1512" i="18"/>
  <c r="E1513" i="18" s="1"/>
  <c r="D793" i="18"/>
  <c r="D71" i="18"/>
  <c r="G865" i="18"/>
  <c r="E1142" i="18"/>
  <c r="E1141" i="18" s="1"/>
  <c r="E1140" i="18"/>
  <c r="E1485" i="18"/>
  <c r="E1482" i="18" s="1"/>
  <c r="E1481" i="18"/>
  <c r="E507" i="18"/>
  <c r="E551" i="18" s="1"/>
  <c r="I551" i="18" s="1"/>
  <c r="E1625" i="18"/>
  <c r="E1622" i="18"/>
  <c r="D262" i="18"/>
  <c r="C549" i="18"/>
  <c r="C1807" i="18" s="1"/>
  <c r="C525" i="18"/>
  <c r="D869" i="18"/>
  <c r="G980" i="18"/>
  <c r="E422" i="18"/>
  <c r="D1075" i="18"/>
  <c r="D1495" i="18"/>
  <c r="E1336" i="18"/>
  <c r="G1798" i="18"/>
  <c r="E1607" i="18"/>
  <c r="G1802" i="18"/>
  <c r="D1589" i="18"/>
  <c r="D1594" i="18" s="1"/>
  <c r="E382" i="18"/>
  <c r="E381" i="18" s="1"/>
  <c r="E380" i="18"/>
  <c r="E1554" i="18"/>
  <c r="E1556" i="18"/>
  <c r="E1555" i="18" s="1"/>
  <c r="D323" i="18"/>
  <c r="D348" i="18" s="1"/>
  <c r="E1075" i="18"/>
  <c r="I1075" i="18" s="1"/>
  <c r="E1587" i="18"/>
  <c r="E1589" i="18" s="1"/>
  <c r="E1760" i="18"/>
  <c r="D1596" i="18"/>
  <c r="F424" i="18"/>
  <c r="F1808" i="18"/>
  <c r="E299" i="18"/>
  <c r="E351" i="18"/>
  <c r="E426" i="18" s="1"/>
  <c r="I426" i="18" s="1"/>
  <c r="D260" i="18"/>
  <c r="D249" i="18"/>
  <c r="E766" i="18"/>
  <c r="E765" i="18" s="1"/>
  <c r="E763" i="18"/>
  <c r="E764" i="18" s="1"/>
  <c r="E251" i="18"/>
  <c r="I251" i="18" s="1"/>
  <c r="E261" i="18"/>
  <c r="I261" i="18" s="1"/>
  <c r="E248" i="18"/>
  <c r="E742" i="18"/>
  <c r="E73" i="18"/>
  <c r="E62" i="18"/>
  <c r="E70" i="18" s="1"/>
  <c r="H1805" i="18"/>
  <c r="E1192" i="18"/>
  <c r="E1191" i="18" s="1"/>
  <c r="E1190" i="18"/>
  <c r="E525" i="18"/>
  <c r="E503" i="18"/>
  <c r="I982" i="18"/>
  <c r="E908" i="18"/>
  <c r="D524" i="18"/>
  <c r="D526" i="18"/>
  <c r="D549" i="18" s="1"/>
  <c r="D765" i="18"/>
  <c r="E353" i="18"/>
  <c r="E417" i="18"/>
  <c r="E43" i="18"/>
  <c r="E41" i="18"/>
  <c r="E1171" i="18"/>
  <c r="D190" i="18"/>
  <c r="E709" i="18"/>
  <c r="E708" i="18" s="1"/>
  <c r="E707" i="18"/>
  <c r="E1156" i="18"/>
  <c r="G1595" i="18"/>
  <c r="E794" i="18"/>
  <c r="E792" i="18"/>
  <c r="I792" i="18" s="1"/>
  <c r="E413" i="18"/>
  <c r="E1393" i="18"/>
  <c r="E1375" i="18"/>
  <c r="D1801" i="18"/>
  <c r="D1623" i="18"/>
  <c r="G1808" i="18"/>
  <c r="D258" i="18"/>
  <c r="E962" i="18"/>
  <c r="E963" i="18" s="1"/>
  <c r="I963" i="18" s="1"/>
  <c r="E690" i="18"/>
  <c r="E692" i="18"/>
  <c r="E691" i="18" s="1"/>
  <c r="E1496" i="18"/>
  <c r="E1495" i="18" s="1"/>
  <c r="E1494" i="18"/>
  <c r="E1335" i="18"/>
  <c r="E1608" i="18"/>
  <c r="F548" i="18"/>
  <c r="D1514" i="18"/>
  <c r="E323" i="18"/>
  <c r="D1191" i="18"/>
  <c r="E1124" i="18"/>
  <c r="I1124" i="18" s="1"/>
  <c r="E1126" i="18"/>
  <c r="E1125" i="18" s="1"/>
  <c r="E1525" i="18"/>
  <c r="E1527" i="18"/>
  <c r="E1526" i="18" s="1"/>
  <c r="E1591" i="18"/>
  <c r="E1290" i="18"/>
  <c r="D1073" i="18" l="1"/>
  <c r="D1798" i="18" s="1"/>
  <c r="D1456" i="18"/>
  <c r="E1455" i="18"/>
  <c r="I1455" i="18" s="1"/>
  <c r="I1460" i="18"/>
  <c r="E1457" i="18"/>
  <c r="I1457" i="18" s="1"/>
  <c r="D1276" i="18"/>
  <c r="E1275" i="18"/>
  <c r="I1275" i="18" s="1"/>
  <c r="I1280" i="18"/>
  <c r="E1277" i="18"/>
  <c r="I1277" i="18" s="1"/>
  <c r="E1072" i="18"/>
  <c r="I1072" i="18" s="1"/>
  <c r="E1793" i="18"/>
  <c r="I221" i="18"/>
  <c r="E646" i="18"/>
  <c r="I647" i="18"/>
  <c r="I646" i="18" s="1"/>
  <c r="I548" i="18"/>
  <c r="E644" i="18"/>
  <c r="E645" i="18" s="1"/>
  <c r="I645" i="18" s="1"/>
  <c r="D76" i="18"/>
  <c r="E425" i="18"/>
  <c r="I425" i="18" s="1"/>
  <c r="E219" i="18"/>
  <c r="E218" i="18" s="1"/>
  <c r="I218" i="18" s="1"/>
  <c r="E547" i="18"/>
  <c r="I547" i="18" s="1"/>
  <c r="G1805" i="18"/>
  <c r="E428" i="18"/>
  <c r="I428" i="18" s="1"/>
  <c r="D1070" i="18"/>
  <c r="E1811" i="18"/>
  <c r="I1811" i="18" s="1"/>
  <c r="G1795" i="18"/>
  <c r="D218" i="18"/>
  <c r="E258" i="18"/>
  <c r="I258" i="18" s="1"/>
  <c r="I248" i="18"/>
  <c r="C1809" i="18"/>
  <c r="C1806" i="18" s="1"/>
  <c r="I223" i="18"/>
  <c r="D424" i="18"/>
  <c r="E867" i="18"/>
  <c r="I867" i="18" s="1"/>
  <c r="C424" i="18"/>
  <c r="D547" i="18"/>
  <c r="C548" i="18"/>
  <c r="D1793" i="18"/>
  <c r="F1796" i="18"/>
  <c r="C1795" i="18"/>
  <c r="G5" i="18" s="1"/>
  <c r="C1805" i="18"/>
  <c r="D259" i="18"/>
  <c r="I979" i="18"/>
  <c r="I1126" i="18"/>
  <c r="E1073" i="18"/>
  <c r="I1073" i="18" s="1"/>
  <c r="E348" i="18"/>
  <c r="D423" i="18"/>
  <c r="E78" i="18"/>
  <c r="I78" i="18" s="1"/>
  <c r="E71" i="18"/>
  <c r="E349" i="18"/>
  <c r="D1808" i="18"/>
  <c r="E262" i="18"/>
  <c r="E249" i="18"/>
  <c r="I249" i="18" s="1"/>
  <c r="E548" i="18"/>
  <c r="E504" i="18"/>
  <c r="G1806" i="18"/>
  <c r="D865" i="18"/>
  <c r="E1590" i="18"/>
  <c r="E1596" i="18"/>
  <c r="G548" i="18"/>
  <c r="E75" i="18"/>
  <c r="I75" i="18" s="1"/>
  <c r="D1595" i="18"/>
  <c r="C1797" i="18"/>
  <c r="C1796" i="18" s="1"/>
  <c r="I981" i="18"/>
  <c r="D980" i="18"/>
  <c r="E42" i="18"/>
  <c r="E77" i="18"/>
  <c r="I1760" i="18"/>
  <c r="E1514" i="18"/>
  <c r="E864" i="18"/>
  <c r="I864" i="18" s="1"/>
  <c r="D1799" i="18"/>
  <c r="E793" i="18"/>
  <c r="I793" i="18" s="1"/>
  <c r="E866" i="18"/>
  <c r="I866" i="18" s="1"/>
  <c r="H1797" i="18"/>
  <c r="H1796" i="18" s="1"/>
  <c r="D525" i="18"/>
  <c r="D548" i="18"/>
  <c r="E1594" i="18"/>
  <c r="E1070" i="18"/>
  <c r="I1070" i="18" s="1"/>
  <c r="G1797" i="18"/>
  <c r="G1796" i="18" s="1"/>
  <c r="D1809" i="18"/>
  <c r="E1801" i="18"/>
  <c r="I1801" i="18" s="1"/>
  <c r="E1623" i="18"/>
  <c r="I794" i="18"/>
  <c r="I1125" i="18"/>
  <c r="E980" i="18"/>
  <c r="E1802" i="18" l="1"/>
  <c r="I1802" i="18" s="1"/>
  <c r="I1793" i="18"/>
  <c r="E1456" i="18"/>
  <c r="I1456" i="18" s="1"/>
  <c r="I1276" i="18"/>
  <c r="E1276" i="18"/>
  <c r="I1071" i="18"/>
  <c r="I424" i="18"/>
  <c r="E1807" i="18"/>
  <c r="I1807" i="18" s="1"/>
  <c r="I219" i="18"/>
  <c r="E1799" i="18"/>
  <c r="I1799" i="18" s="1"/>
  <c r="E1810" i="18"/>
  <c r="I1810" i="18" s="1"/>
  <c r="E1809" i="18"/>
  <c r="I1809" i="18" s="1"/>
  <c r="I262" i="18"/>
  <c r="D1795" i="18"/>
  <c r="D1797" i="18"/>
  <c r="D1802" i="18"/>
  <c r="E423" i="18"/>
  <c r="I348" i="18"/>
  <c r="D1807" i="18"/>
  <c r="E1071" i="18"/>
  <c r="E424" i="18"/>
  <c r="I980" i="18"/>
  <c r="E865" i="18"/>
  <c r="I865" i="18" s="1"/>
  <c r="E1808" i="18"/>
  <c r="I1808" i="18" s="1"/>
  <c r="E76" i="18"/>
  <c r="I76" i="18" s="1"/>
  <c r="I77" i="18"/>
  <c r="E1595" i="18"/>
  <c r="E1797" i="18"/>
  <c r="I1797" i="18" s="1"/>
  <c r="D1805" i="18"/>
  <c r="E259" i="18"/>
  <c r="I259" i="18" s="1"/>
  <c r="D1071" i="18"/>
  <c r="E1798" i="18"/>
  <c r="I1798" i="18" s="1"/>
  <c r="E1806" i="18" l="1"/>
  <c r="I1806" i="18" s="1"/>
  <c r="E1805" i="18"/>
  <c r="I1805" i="18" s="1"/>
  <c r="I423" i="18"/>
  <c r="D1796" i="18"/>
  <c r="E1795" i="18"/>
  <c r="I1795" i="18" s="1"/>
  <c r="D1806" i="18"/>
  <c r="E1796" i="18"/>
  <c r="I1796" i="18" s="1"/>
</calcChain>
</file>

<file path=xl/sharedStrings.xml><?xml version="1.0" encoding="utf-8"?>
<sst xmlns="http://schemas.openxmlformats.org/spreadsheetml/2006/main" count="6669" uniqueCount="2400">
  <si>
    <t>Приложение № 1</t>
  </si>
  <si>
    <t>"УТВЕРЖДАЮ"</t>
  </si>
  <si>
    <t>должностей</t>
  </si>
  <si>
    <t>Директор  ФБУЗ   ПОМЦ    ФМБА России</t>
  </si>
  <si>
    <t>Выписка из штатного расписания</t>
  </si>
  <si>
    <t>Федеральное бюджетное учреждение здравоохранения" Приволжский окружной</t>
  </si>
  <si>
    <t>медицинский центр Федерального медико-биологического агентства"</t>
  </si>
  <si>
    <t>Россия, 603001, г.Нижний Новгород, Нижне-Волжская набережная , дом 2</t>
  </si>
  <si>
    <t>№ п.п.</t>
  </si>
  <si>
    <t>Наименование должности</t>
  </si>
  <si>
    <t>в том числе:</t>
  </si>
  <si>
    <t>омс</t>
  </si>
  <si>
    <t>платные</t>
  </si>
  <si>
    <t>контроль</t>
  </si>
  <si>
    <t>Администрация центра</t>
  </si>
  <si>
    <t>Общебольничный медицинский персонал</t>
  </si>
  <si>
    <t>Заместитель директора по медицинской части</t>
  </si>
  <si>
    <t>Заместитель директора по организационно-методической работе</t>
  </si>
  <si>
    <t>Врач - эпидемиолог</t>
  </si>
  <si>
    <t>Врач - клинический фармаколог</t>
  </si>
  <si>
    <t>Итого</t>
  </si>
  <si>
    <t>Отдел  медицинской статистики</t>
  </si>
  <si>
    <t>Заведующий отделением- врач статистик</t>
  </si>
  <si>
    <t>Врач-статистик</t>
  </si>
  <si>
    <t>Медицинский статистик</t>
  </si>
  <si>
    <t>Специалист</t>
  </si>
  <si>
    <t>Экономист</t>
  </si>
  <si>
    <t>ИТОГО</t>
  </si>
  <si>
    <t>врачей</t>
  </si>
  <si>
    <t>среднего персонала</t>
  </si>
  <si>
    <t>прочего персонала</t>
  </si>
  <si>
    <t>Отдел экспертизы и качества</t>
  </si>
  <si>
    <t>Врач-терапевт</t>
  </si>
  <si>
    <t>Отдел высокотехнологичной медицинской помощи</t>
  </si>
  <si>
    <t>Врач-методист</t>
  </si>
  <si>
    <t>Оператор ЭВМ</t>
  </si>
  <si>
    <t>среднего медицинского персонала</t>
  </si>
  <si>
    <t>прочего медицинского</t>
  </si>
  <si>
    <t>поликлиника №1</t>
  </si>
  <si>
    <t>Общеполиклинический медицинский персонал</t>
  </si>
  <si>
    <t>Заведующий поликлиникой - врач - терапевт</t>
  </si>
  <si>
    <t>Заместитель заведующего поликлиникой по клинико-экспертной работе</t>
  </si>
  <si>
    <t>Заместитель заведующего поликлиникой по медицинской части</t>
  </si>
  <si>
    <t>Главная медицинская сестра</t>
  </si>
  <si>
    <t>Сестра-хозяйка</t>
  </si>
  <si>
    <t>Санитарка</t>
  </si>
  <si>
    <t>Кабинет учета и медицинской статистики</t>
  </si>
  <si>
    <t>Заведующий отделением-врач-терапевт</t>
  </si>
  <si>
    <t>Фельдшер(медицинская сестра)</t>
  </si>
  <si>
    <t>итого по отделению неотложной мед.помощи</t>
  </si>
  <si>
    <t>Заведующий отделением - врач-терапевт</t>
  </si>
  <si>
    <t>Врач-колопроктолог</t>
  </si>
  <si>
    <t>Врач по водолазной медицине</t>
  </si>
  <si>
    <t>Старшая медицинская сестра</t>
  </si>
  <si>
    <t>итого</t>
  </si>
  <si>
    <t>Эндокринологический кабинет</t>
  </si>
  <si>
    <t>Врач-эндокринолог</t>
  </si>
  <si>
    <t>Итого:</t>
  </si>
  <si>
    <t>Кардиологический кабинет</t>
  </si>
  <si>
    <t>Врач-кардиолог</t>
  </si>
  <si>
    <t>Инфекционный кабинет</t>
  </si>
  <si>
    <t>1.</t>
  </si>
  <si>
    <t>Врач - инфекционист</t>
  </si>
  <si>
    <t>2.</t>
  </si>
  <si>
    <t>Медицинская сестра</t>
  </si>
  <si>
    <t>Онкологический кабинет</t>
  </si>
  <si>
    <t>Врач-онколог</t>
  </si>
  <si>
    <t>Урологический кабинет</t>
  </si>
  <si>
    <t>Врач-уролог</t>
  </si>
  <si>
    <t>Гастроэнтерологический кабинет</t>
  </si>
  <si>
    <t>Врач-гастроэнтеролог</t>
  </si>
  <si>
    <t>Всего по терапевтическому отделению</t>
  </si>
  <si>
    <t>Отделение медицинской профилактики</t>
  </si>
  <si>
    <t>Заведующий отделением- врач профпатолог</t>
  </si>
  <si>
    <t>Врач-профпатолог</t>
  </si>
  <si>
    <t>Врач-психиатр</t>
  </si>
  <si>
    <t>Врач-психиатр-нарколог</t>
  </si>
  <si>
    <t>Терапевтический кабинет</t>
  </si>
  <si>
    <t>Врач-терапевт участковый цехового врачебного участка</t>
  </si>
  <si>
    <t>Медицинская сестра участковая</t>
  </si>
  <si>
    <t>Неврологический кабинет</t>
  </si>
  <si>
    <t>Врач-невролог</t>
  </si>
  <si>
    <t>Хирургический кабинет</t>
  </si>
  <si>
    <t>Врач-хирург</t>
  </si>
  <si>
    <t>Гинекологический кабинет</t>
  </si>
  <si>
    <t>Врач - акушер-гинеколог</t>
  </si>
  <si>
    <t>Акушерка</t>
  </si>
  <si>
    <t>Дерматовенерологический кабинет</t>
  </si>
  <si>
    <t>Врач-дерматовенеролог</t>
  </si>
  <si>
    <t>Офтальмологический кабинет</t>
  </si>
  <si>
    <t>Врач-офтальмолог</t>
  </si>
  <si>
    <t>Оториноларингологический кабинет</t>
  </si>
  <si>
    <t>Врач-оториноларинголог</t>
  </si>
  <si>
    <t>Процедурный кабинет</t>
  </si>
  <si>
    <t>Медицинская сестра процедурной</t>
  </si>
  <si>
    <t>Регистратура</t>
  </si>
  <si>
    <t>Медицинский регистратор</t>
  </si>
  <si>
    <t>Общеполиклинический немедицинский персонал</t>
  </si>
  <si>
    <t>Административно-хозяйственный отдел</t>
  </si>
  <si>
    <t>Начальник хозяйственного отдела</t>
  </si>
  <si>
    <t>Заведующий хозяйством</t>
  </si>
  <si>
    <t>Слесарь-электрик по ремонту электрооборудования</t>
  </si>
  <si>
    <t>Слесарь- сантехник</t>
  </si>
  <si>
    <t>Столяр</t>
  </si>
  <si>
    <t>Гардеробщик</t>
  </si>
  <si>
    <t>Лифтер</t>
  </si>
  <si>
    <t>Уборщик служебных помещений</t>
  </si>
  <si>
    <t>Вахтер</t>
  </si>
  <si>
    <t>Уборщик территорий</t>
  </si>
  <si>
    <t>итого по поликлинике №1</t>
  </si>
  <si>
    <t>врачи</t>
  </si>
  <si>
    <t>в т.ч.вр.амбул.приема</t>
  </si>
  <si>
    <t>средний мед.персонал</t>
  </si>
  <si>
    <t>младший мед.персонал</t>
  </si>
  <si>
    <t>прочий персонал</t>
  </si>
  <si>
    <t>Поликлиника № 2  стоматологическая</t>
  </si>
  <si>
    <t>Заведующий поликлиникой - врач-стоматолог-хирург</t>
  </si>
  <si>
    <t>Сестра - хозяйка</t>
  </si>
  <si>
    <t>Стоматологическое отделение</t>
  </si>
  <si>
    <t>Заведующий отделением-врач-стоматолог-ортопед</t>
  </si>
  <si>
    <t>Заведующий отделением-врач-стоматолог-терапевт</t>
  </si>
  <si>
    <t>Врач-стоматолог -хирург</t>
  </si>
  <si>
    <t>Врач-стоматолог-ортопед</t>
  </si>
  <si>
    <t>Врач-стоматолог</t>
  </si>
  <si>
    <t>Зубной врач</t>
  </si>
  <si>
    <t>Всего по стоматологическому отделению</t>
  </si>
  <si>
    <t>в т.ч.врачи</t>
  </si>
  <si>
    <t>Зуботехническая  лаборатория</t>
  </si>
  <si>
    <t>Заведующий производством зубопротезирования-зубной техник</t>
  </si>
  <si>
    <t>Зубной техник</t>
  </si>
  <si>
    <t>Всего по стоматологической поликлинике          № 2</t>
  </si>
  <si>
    <t>в том числе</t>
  </si>
  <si>
    <t>из них врачи амбулаторного приема</t>
  </si>
  <si>
    <t>поликлиника № 3</t>
  </si>
  <si>
    <t>Заведующий поликлиникой-врач-хирург</t>
  </si>
  <si>
    <t>Заместитель заведующего по клинико-экспертной работе</t>
  </si>
  <si>
    <t>Терапевтическое отделение</t>
  </si>
  <si>
    <t>Центр амбулаторной урологии</t>
  </si>
  <si>
    <t>Заведующий центром-врач-уролог</t>
  </si>
  <si>
    <t>Кабинет дистанционной литотрипсии</t>
  </si>
  <si>
    <t>Всего по центру амбулаторной урологии</t>
  </si>
  <si>
    <t>Акушерка (медицинская сестра)</t>
  </si>
  <si>
    <t>Врач косметолог</t>
  </si>
  <si>
    <t>Врач-сурдолог-оториноларинголог</t>
  </si>
  <si>
    <t>Нефрологический кабинет</t>
  </si>
  <si>
    <t>Врач-нефролог</t>
  </si>
  <si>
    <t>Ревматологический кабинет</t>
  </si>
  <si>
    <t>Врач-ревматолог</t>
  </si>
  <si>
    <t>Отделение  медицинской профилактики</t>
  </si>
  <si>
    <t>Заведующий отделением-врач-профпатолог</t>
  </si>
  <si>
    <t>Всего по отделению медицинской профилактики</t>
  </si>
  <si>
    <t>Офтальмологическое отделение</t>
  </si>
  <si>
    <t>Заведующий отделением - врач-офтальмолог</t>
  </si>
  <si>
    <t>Всего по офтальмологическому отделению</t>
  </si>
  <si>
    <t>из них врачей амбулаторного приема</t>
  </si>
  <si>
    <t>Дневной стационар</t>
  </si>
  <si>
    <t>итого по поликлинике № 3</t>
  </si>
  <si>
    <t>поликлиника № 4</t>
  </si>
  <si>
    <t>Общеполиклинический  персонал</t>
  </si>
  <si>
    <t>Врач-травматолог -ортопед</t>
  </si>
  <si>
    <t>итого по поликлинике №4</t>
  </si>
  <si>
    <t>поликлиника № 5</t>
  </si>
  <si>
    <t>Заведующий поликлиникой-врач - терапевт</t>
  </si>
  <si>
    <t>3.</t>
  </si>
  <si>
    <t>Сестра -хозяйка</t>
  </si>
  <si>
    <t>4.</t>
  </si>
  <si>
    <t>Консультативный медицинский кабинет №1</t>
  </si>
  <si>
    <t>Врач - хирург</t>
  </si>
  <si>
    <t>Врач - оториноларинголог</t>
  </si>
  <si>
    <t>Консультативный медицинский кабинет №2</t>
  </si>
  <si>
    <t>Врач - офтальмолог</t>
  </si>
  <si>
    <t>Врач - невролог</t>
  </si>
  <si>
    <t>5.</t>
  </si>
  <si>
    <t>Врач - кардиолог</t>
  </si>
  <si>
    <t>Врач - акушер - гинеколог</t>
  </si>
  <si>
    <t>Общеполиклинический  немедицинский персонал</t>
  </si>
  <si>
    <t>Итого по поликлинике № 5</t>
  </si>
  <si>
    <t>в т.ч. врачей ведущих амбулаторный прием</t>
  </si>
  <si>
    <t>среднего медперсона</t>
  </si>
  <si>
    <t>младшего медперсонала</t>
  </si>
  <si>
    <t>Амбулаторный  центр трансплантологии и гепатологии</t>
  </si>
  <si>
    <t>Заведующий центром-врач-хирург</t>
  </si>
  <si>
    <t>Врач-инфекционист</t>
  </si>
  <si>
    <t>итого по центру</t>
  </si>
  <si>
    <t>в том числе                                             врачи</t>
  </si>
  <si>
    <t>Общий персонал</t>
  </si>
  <si>
    <t>Руководитель центра-врач скорой медицинской  помощи</t>
  </si>
  <si>
    <t>Заместитель руководителя центра-врач травматолог-ортопед</t>
  </si>
  <si>
    <t>Старший фельдшер</t>
  </si>
  <si>
    <t>Психолог</t>
  </si>
  <si>
    <t>итого по общему персоналу</t>
  </si>
  <si>
    <t>Отделение скорой медицинской помощи</t>
  </si>
  <si>
    <t>Заведующий отделением -врач скорой медицинской помощи</t>
  </si>
  <si>
    <t>Старший врач отделения скорой медицинской помощи</t>
  </si>
  <si>
    <t>Фельдшер (медицинская сестра) по приему вызовов скорой медицинской помощи и передаче их выездным бригадам скорой медицинской помощи</t>
  </si>
  <si>
    <t>Выездная  бригада</t>
  </si>
  <si>
    <t>Врач-педиатр</t>
  </si>
  <si>
    <t>Врач скорой медицинской помощи</t>
  </si>
  <si>
    <t>Фельдшер скорой медицинской помощи</t>
  </si>
  <si>
    <t>Водитель автомобиля скорой медицинской помощи</t>
  </si>
  <si>
    <t>итого по отделению скорой мед.помощи</t>
  </si>
  <si>
    <t>Выездная общепрофильная бригада</t>
  </si>
  <si>
    <t>Всего по ПКЦ органного и тканевого донорства</t>
  </si>
  <si>
    <t>средний</t>
  </si>
  <si>
    <t>младший</t>
  </si>
  <si>
    <t>прочий</t>
  </si>
  <si>
    <t>Заместитель главного врача по клинико-экспертной работе</t>
  </si>
  <si>
    <t>Заместитель главного врача по медицинской части</t>
  </si>
  <si>
    <t>Медицинская сестра диетическая</t>
  </si>
  <si>
    <t>Заведующий отделением- врач-терапевт</t>
  </si>
  <si>
    <t>Медицинская сестра палатная</t>
  </si>
  <si>
    <t>в том числе                           врачей</t>
  </si>
  <si>
    <t>Заведующий отделением- врач-онколог</t>
  </si>
  <si>
    <t>Медицинская сестра перевязочной</t>
  </si>
  <si>
    <t>Заведующий отделением- врач-хирург</t>
  </si>
  <si>
    <t>Медицинская сестра процедурной диализного зала</t>
  </si>
  <si>
    <t>Заведующий отделением- врач-уролог</t>
  </si>
  <si>
    <t>Отделение рентген-ударно-волнового дистанционного дробления камней почек</t>
  </si>
  <si>
    <t>Всего по  урологическому отделению № 2</t>
  </si>
  <si>
    <t>Заведующий отделением, врач- акушер-гинеколог</t>
  </si>
  <si>
    <t>Врач -акушер-гинеколог</t>
  </si>
  <si>
    <t>6.</t>
  </si>
  <si>
    <t>Заведующий отделением-врач- акушер-гинеколог</t>
  </si>
  <si>
    <t>Врач- акушер-гинеколог</t>
  </si>
  <si>
    <t>Биолог</t>
  </si>
  <si>
    <t>Всего по отделению</t>
  </si>
  <si>
    <t>в том числе                                           врачей</t>
  </si>
  <si>
    <t>Отделение рентгенохирургических методов диагностики и лечения</t>
  </si>
  <si>
    <t>Заведующий отделением - врач по рентгенэндоваскулярным диагностике и лечению</t>
  </si>
  <si>
    <t>Врач-рентгенолог</t>
  </si>
  <si>
    <t>Врач  функциональной диагностики</t>
  </si>
  <si>
    <t>Врач по рентгенэндоваскулярным диагностике и лечению</t>
  </si>
  <si>
    <t>Врач-сердечно-сосудистый хирург</t>
  </si>
  <si>
    <t>Рентгенолаборант</t>
  </si>
  <si>
    <t>Медицинская сестра -анестезист</t>
  </si>
  <si>
    <t>Приемное отделение</t>
  </si>
  <si>
    <t>Заведующий отделением - врач приемного отделения-врач-специалист</t>
  </si>
  <si>
    <t>Врач приемного отделения-врач-специалист</t>
  </si>
  <si>
    <t>Медицинская сестра приемного отделения</t>
  </si>
  <si>
    <t>Операционный блок</t>
  </si>
  <si>
    <t>Старшая операционная медицинская сестра</t>
  </si>
  <si>
    <t>Патологоанатомическое отделение</t>
  </si>
  <si>
    <t>Заведующий отделением-врач-патологоанатом</t>
  </si>
  <si>
    <t>Врач-патологоанатом</t>
  </si>
  <si>
    <t>Фельдшер-лаборант</t>
  </si>
  <si>
    <t>Централизованная стерилизационная</t>
  </si>
  <si>
    <t>Медицинская сестра стерилизационной</t>
  </si>
  <si>
    <t>Общебольничный немедицинский персонал</t>
  </si>
  <si>
    <t>Заместитель главного врача по хозяйственным вопросам</t>
  </si>
  <si>
    <t>Секретарь</t>
  </si>
  <si>
    <t>Делопроизводитель</t>
  </si>
  <si>
    <t>Слесарь-электрик по ремонту  и обслуживании вентиляции</t>
  </si>
  <si>
    <t>Садовник</t>
  </si>
  <si>
    <t>Кастелянша</t>
  </si>
  <si>
    <t>Газосварщик</t>
  </si>
  <si>
    <t>Слесарь-ремонтник по обслуживанию кислородной установки</t>
  </si>
  <si>
    <t>Машинист компрессорных установок</t>
  </si>
  <si>
    <t>Заведующий складом</t>
  </si>
  <si>
    <t>Шеф-повар</t>
  </si>
  <si>
    <t>Повар</t>
  </si>
  <si>
    <t>Кухонный работник</t>
  </si>
  <si>
    <t>в том числе :</t>
  </si>
  <si>
    <t>младшего персонала</t>
  </si>
  <si>
    <t>Главный врач</t>
  </si>
  <si>
    <t>Заведующий  отделением- врач-нейрохирург</t>
  </si>
  <si>
    <t>Врач-нейрохирург</t>
  </si>
  <si>
    <t>Заведующий  отделением- врач-невролог</t>
  </si>
  <si>
    <t>Центр реабилитации и восстановительного лечения</t>
  </si>
  <si>
    <t>Врач - психотерапевт</t>
  </si>
  <si>
    <t>Логопед</t>
  </si>
  <si>
    <t>Физиотерапевтическое отделение</t>
  </si>
  <si>
    <t>Заведующий отделением- врач-физиотерапевт</t>
  </si>
  <si>
    <t>Врач-физиотерапевт</t>
  </si>
  <si>
    <t>Врач - рефлексотерапевт</t>
  </si>
  <si>
    <t>Старшая медицинская сестра по физиотерапии</t>
  </si>
  <si>
    <t>Медицинская  сестра по физиотерапии</t>
  </si>
  <si>
    <t>Всего по физиотерапевтическому отделению</t>
  </si>
  <si>
    <t>в том числе                                    врачей</t>
  </si>
  <si>
    <t>Отделение лечебной физкультуры</t>
  </si>
  <si>
    <t>Заведущий отделением-врач по лечебной физкультуре</t>
  </si>
  <si>
    <t>Врач по лечебной физкультуре</t>
  </si>
  <si>
    <t>Врач мануальной терапии</t>
  </si>
  <si>
    <t>Медицинская сестра по массажу</t>
  </si>
  <si>
    <t>Инструктор по лечебной физкультуре</t>
  </si>
  <si>
    <t>итого по ЛФК</t>
  </si>
  <si>
    <t>Всего по центру реабилитации</t>
  </si>
  <si>
    <t>Центр амбулаторного диализа</t>
  </si>
  <si>
    <t>Заведующий центром-врач- хирург</t>
  </si>
  <si>
    <t>Врач- нефролог</t>
  </si>
  <si>
    <t>итого врачей</t>
  </si>
  <si>
    <t>итого медицинских сестер</t>
  </si>
  <si>
    <t>итого санитарок</t>
  </si>
  <si>
    <t>Отделение анестезиологии - реанимации (4 койки)</t>
  </si>
  <si>
    <t>Заведующий отделением- врач- анестезиолог-реаниматолог</t>
  </si>
  <si>
    <t>Врач- анестезиолог-реаниматолог</t>
  </si>
  <si>
    <t>Медицинская  сестра палатная</t>
  </si>
  <si>
    <t>Всего по отделению анестезиологии - реанимации</t>
  </si>
  <si>
    <t>Медицинский регистратор справочного бюро</t>
  </si>
  <si>
    <t>Слесарь-ремонтник по обслуживанию кислородных установок</t>
  </si>
  <si>
    <t>Подсобный рабочий</t>
  </si>
  <si>
    <t>Пищеблок</t>
  </si>
  <si>
    <t>Заведующий отделением- врач-челюстно-лицевой-хирург</t>
  </si>
  <si>
    <t>Врач- челюстно-лицевой хирург</t>
  </si>
  <si>
    <t>Врач-пластический хирург</t>
  </si>
  <si>
    <t>Заведующий отделением - врач-хирург</t>
  </si>
  <si>
    <t>Врач- офтальмолог</t>
  </si>
  <si>
    <t>Итого по отделению :</t>
  </si>
  <si>
    <t>в том числе                   врачей</t>
  </si>
  <si>
    <t>Заведующий отделением- врач- акушер-гинеколог</t>
  </si>
  <si>
    <t>Врач-радиолог</t>
  </si>
  <si>
    <t>Медсестра перевязочной</t>
  </si>
  <si>
    <t>Медицинский физик</t>
  </si>
  <si>
    <t>Техник-дозиметрист</t>
  </si>
  <si>
    <t>Заведующий  отделением-врач-оториноларинголог</t>
  </si>
  <si>
    <t>Врач-сурдолог- оториноларинголог</t>
  </si>
  <si>
    <t>Заведующий операционным блоком-врач-хирург</t>
  </si>
  <si>
    <t>Маляр</t>
  </si>
  <si>
    <t>Заведующий производством</t>
  </si>
  <si>
    <t>Мойщик посуды</t>
  </si>
  <si>
    <t>итого по клинической больнице  №3</t>
  </si>
  <si>
    <t>Заведующий  отделением- врач-терапевт</t>
  </si>
  <si>
    <t>Заведующий  отделением- врач-кардиолог</t>
  </si>
  <si>
    <t>Онкологическое  отделение  противоопухолевой лекарственной терапии</t>
  </si>
  <si>
    <t>Заведующий  отделением- врач-онколог</t>
  </si>
  <si>
    <t>Заведующий  отделением- врач-травматолог-ортопед</t>
  </si>
  <si>
    <t>Врач-травматолог ортопед</t>
  </si>
  <si>
    <t>итого по клинической больнице  №4</t>
  </si>
  <si>
    <t>Отделение анестезиологии - реанимации (11 коек)</t>
  </si>
  <si>
    <t>Заведующий отделением-врач- анестезиолог-реаниматолог</t>
  </si>
  <si>
    <t>Всего по отделению анестезиологии- реанимации</t>
  </si>
  <si>
    <t>Физиотерапевтическая служба</t>
  </si>
  <si>
    <t>Заведующий физиотерапевтической службой-врач-физиотерапевт</t>
  </si>
  <si>
    <t>Заведующий  отделением-врач-физиотерапевт</t>
  </si>
  <si>
    <t>Врач-рефлексотерапевт</t>
  </si>
  <si>
    <t>Медицинская  сестра по массажу</t>
  </si>
  <si>
    <t>Всего по физиотерапевтической службе</t>
  </si>
  <si>
    <t>Отделение функциональной диагностики</t>
  </si>
  <si>
    <t>Заведующий отделением- врач функциональной диагностики</t>
  </si>
  <si>
    <t>Врач функциональной диагностики</t>
  </si>
  <si>
    <t>Всего по отделению функциональной диагностики</t>
  </si>
  <si>
    <t>младшего медицинского персонала</t>
  </si>
  <si>
    <t>отдел лучевой диагностики</t>
  </si>
  <si>
    <t>Заведующий отделом- врач ультразвуковой диагностики</t>
  </si>
  <si>
    <t>Отделение ультразвуковой диагностики</t>
  </si>
  <si>
    <t>Заведующий отделением- врач ультразвуковой диагностики</t>
  </si>
  <si>
    <t>Врач ультразвуковой диагностики</t>
  </si>
  <si>
    <t>Итого по отделению УЗИ</t>
  </si>
  <si>
    <t>Эндоскопическое отделение</t>
  </si>
  <si>
    <t>Заведующий отделением-врач-эндоскопист</t>
  </si>
  <si>
    <t>Врач-эндоскопист</t>
  </si>
  <si>
    <t>Итого по отделению эндоскопии</t>
  </si>
  <si>
    <t>Рентгенодиагностическое отделение</t>
  </si>
  <si>
    <t>Заведующий отделением - врач-рентгенолог</t>
  </si>
  <si>
    <t>Старший рентгенолаборант</t>
  </si>
  <si>
    <t>Флюорографический кабинет</t>
  </si>
  <si>
    <t>Врач- рентгенолог</t>
  </si>
  <si>
    <t>Рентгеновский маммографический кабинет</t>
  </si>
  <si>
    <t>Всего по мамографическому кабинету</t>
  </si>
  <si>
    <t>Всего по отделу лучевой диагностики</t>
  </si>
  <si>
    <t>Заведующий лабораторией- врач клинической лабораторной диагностики</t>
  </si>
  <si>
    <t>Врач клинической лабораторной диагностики</t>
  </si>
  <si>
    <t>Всего по клинико-диагностической лаборатории</t>
  </si>
  <si>
    <t>Аптека готовых лекарственных форм</t>
  </si>
  <si>
    <t>Заведующий аптекой  - провизор</t>
  </si>
  <si>
    <t>Заместитель заведующей аптекой-фармацевт</t>
  </si>
  <si>
    <t>Старший провизор</t>
  </si>
  <si>
    <t>Провизор</t>
  </si>
  <si>
    <t>Рабочий по складу</t>
  </si>
  <si>
    <t>Всего по аптеке</t>
  </si>
  <si>
    <t>младший медицинский персонал</t>
  </si>
  <si>
    <t>Общебольничный  немедицинский персонал</t>
  </si>
  <si>
    <t>Заместитель директора по экономическим  вопросам</t>
  </si>
  <si>
    <t>Заместитель директора по общим  вопросам</t>
  </si>
  <si>
    <t>Заместитель директора по капитальному строительству</t>
  </si>
  <si>
    <t>Главный специалист по правовым вопросам - советник</t>
  </si>
  <si>
    <t>Секретарь руководителя</t>
  </si>
  <si>
    <t>Юридический отдел</t>
  </si>
  <si>
    <t>Начальник юридического отдела</t>
  </si>
  <si>
    <t>Планово-экономический отдел</t>
  </si>
  <si>
    <t>Начальник  планово-экономического  отдела</t>
  </si>
  <si>
    <t>Заместитель начальника планово-экономического отдела</t>
  </si>
  <si>
    <t>Руководитель группы  по финансовой работе</t>
  </si>
  <si>
    <t>Бухгалтерия</t>
  </si>
  <si>
    <t>Главный бухгалтер</t>
  </si>
  <si>
    <t>Заместитель главного бухгалтера</t>
  </si>
  <si>
    <t>Заместитель  главного бухгалтера по налоговому и статистическому учету</t>
  </si>
  <si>
    <t>Руководитель группы по финансовому учету</t>
  </si>
  <si>
    <t>Руководитель группы по расчетам с рабочими и служащими</t>
  </si>
  <si>
    <t>Руководитель группы по учету материальных ценностей</t>
  </si>
  <si>
    <t>Ведущий бухгалтер  по расчетам с рабочими и служащими</t>
  </si>
  <si>
    <t>Бухгалтер  1 категории по учету материальных ценностей</t>
  </si>
  <si>
    <t>Ведущий бухгалтер по учету материальных ценностей</t>
  </si>
  <si>
    <t>Ведущий бухгалтер по финансовому учету</t>
  </si>
  <si>
    <t>Ведущий бухгалтер</t>
  </si>
  <si>
    <t>Ведущий бухгалтер-ревизор</t>
  </si>
  <si>
    <t>Ведущий экономист по финансовой работе</t>
  </si>
  <si>
    <t>Старший кассир</t>
  </si>
  <si>
    <t>Машинистка</t>
  </si>
  <si>
    <t>Отдел кадров</t>
  </si>
  <si>
    <t>Начальник отдела кадров</t>
  </si>
  <si>
    <t>Специалист по кадрам</t>
  </si>
  <si>
    <t>итого по кадрам</t>
  </si>
  <si>
    <t>Спецотдел</t>
  </si>
  <si>
    <t>Ведущий специалист</t>
  </si>
  <si>
    <t>Заведующий экспедицией</t>
  </si>
  <si>
    <t>Заведующий архивом</t>
  </si>
  <si>
    <t>Курьер</t>
  </si>
  <si>
    <t>Архивариус</t>
  </si>
  <si>
    <t>Контрактная служба</t>
  </si>
  <si>
    <t>Отдел автоматизированной системы управления производством</t>
  </si>
  <si>
    <t>Начальник отдела  автоматизированной системы управления производством</t>
  </si>
  <si>
    <t>Ведуший программист</t>
  </si>
  <si>
    <t>Ведущий инженер</t>
  </si>
  <si>
    <t>Техник</t>
  </si>
  <si>
    <t>Группа внедрения информационных систем</t>
  </si>
  <si>
    <t>Руководитель группы</t>
  </si>
  <si>
    <t>Ведущий экономист</t>
  </si>
  <si>
    <t>Специалист по маркетингу</t>
  </si>
  <si>
    <t>Оператор(консультант)</t>
  </si>
  <si>
    <t>технический отдел</t>
  </si>
  <si>
    <t>Начальник  технического  отдела</t>
  </si>
  <si>
    <t>Заместитель начальника технического отдела</t>
  </si>
  <si>
    <t>Инженерная группа</t>
  </si>
  <si>
    <t>Инженер</t>
  </si>
  <si>
    <t>Ведущий инженер по ремонту</t>
  </si>
  <si>
    <t>Инженер по ремонту</t>
  </si>
  <si>
    <t>Ведущий инженер-энергетик</t>
  </si>
  <si>
    <t>Ведущий инженер по охране окружающей среды(эколог)</t>
  </si>
  <si>
    <t>Строительная группа</t>
  </si>
  <si>
    <t>Прораб</t>
  </si>
  <si>
    <t>Бригадир</t>
  </si>
  <si>
    <t>Слесарь-электрик</t>
  </si>
  <si>
    <t>Слесарь-сантехник</t>
  </si>
  <si>
    <t>Штукатур</t>
  </si>
  <si>
    <t>Рабочий по комплексному обслуживанию и ремонту зданий</t>
  </si>
  <si>
    <t>всего по техотделу</t>
  </si>
  <si>
    <t>Отдел материально-технического снабжения</t>
  </si>
  <si>
    <t>Начальник отдела материально-технического снабжения</t>
  </si>
  <si>
    <t>Заведующий хозяйственным складом</t>
  </si>
  <si>
    <t>Кладовщик</t>
  </si>
  <si>
    <t>Агент по снабжению</t>
  </si>
  <si>
    <t>Гараж</t>
  </si>
  <si>
    <t>Начальник гаража</t>
  </si>
  <si>
    <t>Диспетчер гаража</t>
  </si>
  <si>
    <t>Техник по учету ГСМ</t>
  </si>
  <si>
    <t>Водитель автомобиля</t>
  </si>
  <si>
    <t>Механик гаража</t>
  </si>
  <si>
    <t>Управление по гражданской обороне и мобилизационной работе</t>
  </si>
  <si>
    <t>Отдел Го и ЧС</t>
  </si>
  <si>
    <t>Начальник отдела ГО и ЧС</t>
  </si>
  <si>
    <t>Заместитель начальника отдела по ЧС</t>
  </si>
  <si>
    <t>Электромонтер охранно-пожарной  сигнализации</t>
  </si>
  <si>
    <t>Отдел охраны</t>
  </si>
  <si>
    <t>Начальник отдела охраны</t>
  </si>
  <si>
    <t>Заместитель начальника отдела охраны</t>
  </si>
  <si>
    <t>Сторож-вахтер</t>
  </si>
  <si>
    <t>Всего по управлению ГО и МР</t>
  </si>
  <si>
    <t>из них врач</t>
  </si>
  <si>
    <t>Всего по центру</t>
  </si>
  <si>
    <t>провизоров</t>
  </si>
  <si>
    <t>из них по поликлиникам</t>
  </si>
  <si>
    <t>Врачей</t>
  </si>
  <si>
    <t>в том числе врачей амбулаторного приема</t>
  </si>
  <si>
    <t>_____________</t>
  </si>
  <si>
    <t>исполнитель Г.Л. Доброва</t>
  </si>
  <si>
    <t>Медицинское управление</t>
  </si>
  <si>
    <t>Начальник управления-врач-специалист</t>
  </si>
  <si>
    <t>Начальник  отдела- врач-специалист</t>
  </si>
  <si>
    <t>Заместитель начальника-врач-специалист</t>
  </si>
  <si>
    <t>Заместитель начальника</t>
  </si>
  <si>
    <t>Отдел обязательного медицинского страхования</t>
  </si>
  <si>
    <t>Врач-специалист-эксперт</t>
  </si>
  <si>
    <t>Кабинет персонифицированной медицины</t>
  </si>
  <si>
    <t>Заведующий кабинетом-врач-терапевт</t>
  </si>
  <si>
    <t>Врач клинический фармаколог</t>
  </si>
  <si>
    <t>Заведующий регистратурой</t>
  </si>
  <si>
    <t>Старший администратор</t>
  </si>
  <si>
    <t>Сторож</t>
  </si>
  <si>
    <t>Администратор</t>
  </si>
  <si>
    <t>Центр амбулаторной оториноларингологии и сурдологии</t>
  </si>
  <si>
    <t>Заведующий центром-врач-оториноларинголог</t>
  </si>
  <si>
    <t>Сурдологический кабинет</t>
  </si>
  <si>
    <t>Медицинская сестра (для проведения аудиометрии)</t>
  </si>
  <si>
    <t>Всего по центру амбулаторной оториноларингологии</t>
  </si>
  <si>
    <t>итого по выездной бригаде</t>
  </si>
  <si>
    <t>Медицинская  сестра процедурной</t>
  </si>
  <si>
    <t>итого по палате ранней реабилитации</t>
  </si>
  <si>
    <t>Буфетчица-раздатчица</t>
  </si>
  <si>
    <t>Заведующий операционным блоком- врач-травматолог-ортопед</t>
  </si>
  <si>
    <t>Старший тренер-преподаватель</t>
  </si>
  <si>
    <t>Тренер-преподаватель</t>
  </si>
  <si>
    <t>Экономист 2 категории</t>
  </si>
  <si>
    <t>Программист</t>
  </si>
  <si>
    <t>Фотограф</t>
  </si>
  <si>
    <t>Отдел по работе с пациентами</t>
  </si>
  <si>
    <t>Начальник отдела</t>
  </si>
  <si>
    <t>Заместитель начальника отдела</t>
  </si>
  <si>
    <t>Единая справочная служба</t>
  </si>
  <si>
    <t>Оператор (консультант)</t>
  </si>
  <si>
    <t>слесарь по ремонту автомобилей</t>
  </si>
  <si>
    <t>итого средний медицинский персонал.</t>
  </si>
  <si>
    <t>итого средний медицинский персонал</t>
  </si>
  <si>
    <t>С.Н. Жуков</t>
  </si>
  <si>
    <t>Бухгалтер  1 категории по расчетам с рабочими и служащими</t>
  </si>
  <si>
    <t>175 коек</t>
  </si>
  <si>
    <t>- 5 коек</t>
  </si>
  <si>
    <t>15 коек ,в том числе 7 хирургических+6 нефрологических+2 онкологических</t>
  </si>
  <si>
    <t>Гинекологическое отделение</t>
  </si>
  <si>
    <t>Клиническая больница  №2</t>
  </si>
  <si>
    <t>109 коек</t>
  </si>
  <si>
    <t>20 коек в т.ч.17 коек нейрохирургических +3 койки неврологические</t>
  </si>
  <si>
    <t>64 коек в т.ч.57 коек неврологических + 7 реабилитационных</t>
  </si>
  <si>
    <t>Неврологическое отделение №1</t>
  </si>
  <si>
    <t>168 коек</t>
  </si>
  <si>
    <t>-13 коек</t>
  </si>
  <si>
    <t>28 коек в т.ч. 24 гинекологических+4 онкологических</t>
  </si>
  <si>
    <t>Урологическое отделение</t>
  </si>
  <si>
    <t>Клиническая больница  №4</t>
  </si>
  <si>
    <t>39 коек в т.ч.15  кардиологические + 22 терапевтические сут.+2 терапевтических дневного пребывания</t>
  </si>
  <si>
    <t>Отделение травматологии и ортопедии</t>
  </si>
  <si>
    <t>__________2016г.</t>
  </si>
  <si>
    <t>Приемно- консультативное отделение</t>
  </si>
  <si>
    <t>Трансфузиологический кабинет</t>
  </si>
  <si>
    <t>Заведующий кабинетом-врач-трансфузиолог</t>
  </si>
  <si>
    <t>среднего  медицинского персонала</t>
  </si>
  <si>
    <t>Центр спортивной медицины</t>
  </si>
  <si>
    <t>Руководитель центра-врач-травматолог-ортопед</t>
  </si>
  <si>
    <t>Врач по спортивной медицине</t>
  </si>
  <si>
    <t>Отдел аппаратного термического обеззараживания</t>
  </si>
  <si>
    <t>Дезинфектор</t>
  </si>
  <si>
    <t>Грузчик</t>
  </si>
  <si>
    <t>Договорной отдел</t>
  </si>
  <si>
    <t>Начальник отдела-врач</t>
  </si>
  <si>
    <t>Заместитель начальника отдела - врач</t>
  </si>
  <si>
    <t>Буфетная- раздаточная</t>
  </si>
  <si>
    <t>Заместитель директора по поликлиническому разделу работы</t>
  </si>
  <si>
    <t>Врач-травматолог-ортопед</t>
  </si>
  <si>
    <t>всего бюджет</t>
  </si>
  <si>
    <t>в т.ч.  бюджет ГЗ</t>
  </si>
  <si>
    <t>в т.ч.  бюджет ВМП</t>
  </si>
  <si>
    <t>Педиатрический кабинет</t>
  </si>
  <si>
    <t>3 койки терапевтические</t>
  </si>
  <si>
    <t>Младшего медицинского персонала</t>
  </si>
  <si>
    <t>Машинист по стирке белья и ремонту спецодежды</t>
  </si>
  <si>
    <t>Оператор газовой котельной</t>
  </si>
  <si>
    <t>Среднего медицинского персонала</t>
  </si>
  <si>
    <t>(Богородский район, поселок Окский, ул. Новожилова д.4)</t>
  </si>
  <si>
    <t>ВСЕГО по поликлиническому отделению</t>
  </si>
  <si>
    <t>Заместитель заведующего по медицинской части</t>
  </si>
  <si>
    <t>Врач-аллерголог-иммунолог</t>
  </si>
  <si>
    <t>Врач-диетолог</t>
  </si>
  <si>
    <t>Врач-пульмонолог</t>
  </si>
  <si>
    <t>Отделение паллиативной медицинской помощи</t>
  </si>
  <si>
    <t>Врач по паллиативной медицинской помощи</t>
  </si>
  <si>
    <t>Врач-терапевт участковый</t>
  </si>
  <si>
    <t>25 коек в т.ч. 9 кардиохирургических+2 хирургических+4 онкологических+10 коек серд.сосуд.хир. В к-б № 3</t>
  </si>
  <si>
    <t>Заведующий отделением-врач по паллиативной медицинской помощи</t>
  </si>
  <si>
    <t>Медицинсккая сестра по массажу</t>
  </si>
  <si>
    <t>Административный менеджер</t>
  </si>
  <si>
    <t>Врач-ортодонт</t>
  </si>
  <si>
    <t>Отделение медицинской реабилитации</t>
  </si>
  <si>
    <t>Кабинет неотложной медицинской помощи</t>
  </si>
  <si>
    <t>Фельдшер</t>
  </si>
  <si>
    <t>Врач колопроктолог</t>
  </si>
  <si>
    <t>итого, в том числе</t>
  </si>
  <si>
    <t>Травматологический кабинет</t>
  </si>
  <si>
    <t>итого по клинической больнице   № 2</t>
  </si>
  <si>
    <t>к приказу № _________ от __________2016г.</t>
  </si>
  <si>
    <t>Штат в  количестве</t>
  </si>
  <si>
    <t>___________________С.В.Романов</t>
  </si>
  <si>
    <t>ШТАТНОЕ РАСПИСАНИЕ</t>
  </si>
  <si>
    <t>Всего кол-во должностей</t>
  </si>
  <si>
    <t>Директор</t>
  </si>
  <si>
    <t>Помощник директора</t>
  </si>
  <si>
    <t>Всего по медицинскому управлению</t>
  </si>
  <si>
    <t>Всего по общебольничному мед.персоналу</t>
  </si>
  <si>
    <t>Отделение неотложной медицинской помощи</t>
  </si>
  <si>
    <t>Медицинская  сестра</t>
  </si>
  <si>
    <t>Врач-стоматолог-терапевт</t>
  </si>
  <si>
    <t>Приволжский координационный центр органного и тканевого донорства</t>
  </si>
  <si>
    <t>итого по выездной общепрофильной бригаде</t>
  </si>
  <si>
    <t>Клиническая больница № 1</t>
  </si>
  <si>
    <t>- 20коек, в т.ч.15 терапевтических суточных+ 1  терапевтич.койка дневного преб. +  4 ревматологических суточных</t>
  </si>
  <si>
    <t>среднего медперсонала</t>
  </si>
  <si>
    <t>Терапевтическое отделение № 2</t>
  </si>
  <si>
    <t>Онкологическое отделение</t>
  </si>
  <si>
    <t>- 28 коек в т.ч. 8 хирургических сут.+20 онкологических</t>
  </si>
  <si>
    <t>Хирургическое отделение трансплантации органов</t>
  </si>
  <si>
    <t>Урологическое отделение № 1</t>
  </si>
  <si>
    <t>31 коек,в т.ч. 15  урологических суточных коек + 16 онкологических коек</t>
  </si>
  <si>
    <t>Урологическое отделение № 2</t>
  </si>
  <si>
    <t>34 коек в т.ч. 27  урологических  коек + 7 онкологических коек</t>
  </si>
  <si>
    <t>27 коек в т.ч. 25  гинекологических  коек + 2 онкологических коек</t>
  </si>
  <si>
    <t>младшегого медперсонала</t>
  </si>
  <si>
    <t>Отделение вспомогательных репродуктивных технологий</t>
  </si>
  <si>
    <t>Операционная медицинская сестра</t>
  </si>
  <si>
    <t>ИТОГО:</t>
  </si>
  <si>
    <t>Электромонтер  связи</t>
  </si>
  <si>
    <t>Всего по клинической больнице № 1</t>
  </si>
  <si>
    <t>в том числе                                       врачей</t>
  </si>
  <si>
    <t>Нейрохирургическое отделение</t>
  </si>
  <si>
    <t>Неврологическое отделение № 2</t>
  </si>
  <si>
    <t>25 коек в т.ч.2 коек дневного пребывания +13 неврологических + 10 неврологические (реабилитац.)</t>
  </si>
  <si>
    <t>в т.ч.диализный зал на 10 диализных мест</t>
  </si>
  <si>
    <t>Итого по отделению:</t>
  </si>
  <si>
    <t>в том числе                      врачей</t>
  </si>
  <si>
    <t>Палата ранней реабилитации ( 7 коек)</t>
  </si>
  <si>
    <t>Клиническая больница  №3</t>
  </si>
  <si>
    <t>Терапевтическое отделение  - 46 коек</t>
  </si>
  <si>
    <t>в т.ч.26 терапевтические суточные+2 терап.дневного преб.+7 нефрологических  +11 ревматологических</t>
  </si>
  <si>
    <t>Отделение челюстно-лицевой хирургии</t>
  </si>
  <si>
    <t>- 10 коек</t>
  </si>
  <si>
    <t>Хирургическое отделение</t>
  </si>
  <si>
    <t>24 коек в т.ч.18 хирургических сут+ 6 онкологических</t>
  </si>
  <si>
    <t>на 32 коек в т.ч. 22 урологических+10 онкологических</t>
  </si>
  <si>
    <t>Оториноларингологическое отделение</t>
  </si>
  <si>
    <t>- 81 койка</t>
  </si>
  <si>
    <t>Кардиологическое  отделение</t>
  </si>
  <si>
    <t>в т.ч.20 онкологических коек дневного пребывания</t>
  </si>
  <si>
    <t>20 коек в том числе 3 травматологич.+17 ортопедических</t>
  </si>
  <si>
    <t>Поликлиническое отделение</t>
  </si>
  <si>
    <t>Врач – педиатр участковый</t>
  </si>
  <si>
    <t>двухсменная работа на 1 операционную в к-б № 1 + односменная работа на одну рентгенооперационную в к-б № 3</t>
  </si>
  <si>
    <t>в том числе                                      врачей</t>
  </si>
  <si>
    <t>Всего по флюорографическому кабинету:</t>
  </si>
  <si>
    <t>Кабинет рентгеновской компьютерной томографии</t>
  </si>
  <si>
    <t>Кабинет магнитно-резонансной томографии</t>
  </si>
  <si>
    <t>Всего по рентгендиагностическому отделению</t>
  </si>
  <si>
    <t>Клинико-диагностическая лаборатория</t>
  </si>
  <si>
    <t>Лаборант</t>
  </si>
  <si>
    <t>Фармацевт</t>
  </si>
  <si>
    <t>провизор</t>
  </si>
  <si>
    <t>Специалист по охране труда</t>
  </si>
  <si>
    <t>Юрисконсульт</t>
  </si>
  <si>
    <t>Экономист по труду</t>
  </si>
  <si>
    <t>Бухгалтер</t>
  </si>
  <si>
    <t>Бухгалтер  по финансовому учету</t>
  </si>
  <si>
    <t>Бухгалтер 1 категории по финансовому учету</t>
  </si>
  <si>
    <t>Кассир</t>
  </si>
  <si>
    <t>Отдел документационного обеспечения управления</t>
  </si>
  <si>
    <t>Начальник</t>
  </si>
  <si>
    <t>Всего по отделу АСУП</t>
  </si>
  <si>
    <t>Руководитель</t>
  </si>
  <si>
    <t>Начальник управления по гражданской обороне и мобилизационной работе</t>
  </si>
  <si>
    <t>итого общебольничный немедицинский персонал</t>
  </si>
  <si>
    <t>среднего фармацевтического персонала</t>
  </si>
  <si>
    <t>Заместитель директора по экономическим вопросам</t>
  </si>
  <si>
    <t>c 01.01.2017г.</t>
  </si>
  <si>
    <t>Общий медицинский персонал</t>
  </si>
  <si>
    <t>Заведующий отделением-врач-хирург</t>
  </si>
  <si>
    <t>Общий немедицинский персонал</t>
  </si>
  <si>
    <t>Административный управляющий</t>
  </si>
  <si>
    <t>Экономист 1 категории</t>
  </si>
  <si>
    <t>Уборщик</t>
  </si>
  <si>
    <t>Помощник директора по науке</t>
  </si>
  <si>
    <t>Врач- уролог</t>
  </si>
  <si>
    <t>Заместитель руководителя центра-врач скорой медицинской  помощи</t>
  </si>
  <si>
    <t xml:space="preserve">      Выездная общепрофильная бригада</t>
  </si>
  <si>
    <t>Эндоскопическое отделение (хирургических методов лечения)</t>
  </si>
  <si>
    <t>Заведующий  отделением-врач-эндоскопист</t>
  </si>
  <si>
    <t>Аналитик</t>
  </si>
  <si>
    <t xml:space="preserve">Уборщик </t>
  </si>
  <si>
    <t>Заведующий отделом-врач по спортивной медицине</t>
  </si>
  <si>
    <t>Медицинская сестра по профилактике</t>
  </si>
  <si>
    <t>Слесарь по обслуживанию и ремонту систем медгазоснабжения</t>
  </si>
  <si>
    <t>Ведущий юрисконсульт</t>
  </si>
  <si>
    <t>Старший оператор (консультант)</t>
  </si>
  <si>
    <t>Заместитель начальник управления по гражданской обороне и мобилизационной работе</t>
  </si>
  <si>
    <t xml:space="preserve">  </t>
  </si>
  <si>
    <t>Медицинская сестра (функциональной диагностики)</t>
  </si>
  <si>
    <t>Врач - косметолог</t>
  </si>
  <si>
    <t>на 01.11.2017г.</t>
  </si>
  <si>
    <t>Отдел по медико-биологическому сопровождению резерва спортивных сборных команд РФ</t>
  </si>
  <si>
    <t>Проведение спецоценки</t>
  </si>
  <si>
    <t xml:space="preserve">карта №1 от 17.10.2014    </t>
  </si>
  <si>
    <t xml:space="preserve">карта №2 от 17.10.2014    </t>
  </si>
  <si>
    <t xml:space="preserve">карта №3 от 17.10.2014    </t>
  </si>
  <si>
    <t xml:space="preserve">карта №4 от 17.10.2014    </t>
  </si>
  <si>
    <t xml:space="preserve">карта №5 от 17.10.2014    </t>
  </si>
  <si>
    <t xml:space="preserve">карта №6 от 17.10.2014    </t>
  </si>
  <si>
    <t xml:space="preserve">карта №7 от 17.10.2014    </t>
  </si>
  <si>
    <t xml:space="preserve">карта №8 от 17.10.2014    </t>
  </si>
  <si>
    <t xml:space="preserve">карта №9 от 17.10.2014    </t>
  </si>
  <si>
    <t xml:space="preserve">карта №10 от 17.10.2014    </t>
  </si>
  <si>
    <t xml:space="preserve">карта №11 от 17.10.2014    </t>
  </si>
  <si>
    <t xml:space="preserve">карта №12 от 17.10.2014    </t>
  </si>
  <si>
    <t xml:space="preserve">карта №13 от 17.10.2014    </t>
  </si>
  <si>
    <t xml:space="preserve">карта №14 от 17.10.2014    </t>
  </si>
  <si>
    <t xml:space="preserve">карта №15 от 17.10.2014    </t>
  </si>
  <si>
    <t xml:space="preserve">карта №16А от 17.10.2014    </t>
  </si>
  <si>
    <t xml:space="preserve">карта №17А от 17.10.2014    </t>
  </si>
  <si>
    <t xml:space="preserve">карта №19 от 17.10.2014    </t>
  </si>
  <si>
    <t xml:space="preserve">карта №20А от 17.10.2014    </t>
  </si>
  <si>
    <t xml:space="preserve">карта №21 от 17.10.2014    </t>
  </si>
  <si>
    <t xml:space="preserve">карта №22 от 17.10.2014    </t>
  </si>
  <si>
    <t xml:space="preserve">карта №23 от 17.10.2014    </t>
  </si>
  <si>
    <t xml:space="preserve">карта №24 от 17.10.2014    </t>
  </si>
  <si>
    <t xml:space="preserve">карта №25А от 17.10.2014    </t>
  </si>
  <si>
    <t>карта №26 от 17.10.2014    (в спец оценке нет категории)</t>
  </si>
  <si>
    <t xml:space="preserve">карта №27А от 17.10.2014    </t>
  </si>
  <si>
    <t xml:space="preserve">карта №28А от 17.10.2014    </t>
  </si>
  <si>
    <t xml:space="preserve">карта №30 от 17.10.2014    </t>
  </si>
  <si>
    <t xml:space="preserve">карта №31А от 17.10.2014    </t>
  </si>
  <si>
    <t xml:space="preserve">карта №32 от 17.10.2014    </t>
  </si>
  <si>
    <t xml:space="preserve">карта №33 от 17.10.2014    </t>
  </si>
  <si>
    <t xml:space="preserve">карта №34 от 17.10.2014    </t>
  </si>
  <si>
    <t xml:space="preserve">карта №35А от 17.10.2014    </t>
  </si>
  <si>
    <t xml:space="preserve">карта №36 от 17.10.2014    </t>
  </si>
  <si>
    <t xml:space="preserve">карта №37 от 17.10.2014    </t>
  </si>
  <si>
    <t xml:space="preserve">карта №38 от 17.10.2014    </t>
  </si>
  <si>
    <t xml:space="preserve">карта №39 от 17.10.2014    </t>
  </si>
  <si>
    <t xml:space="preserve">карта №40А от 17.10.2014    </t>
  </si>
  <si>
    <t xml:space="preserve">карта №41 от 17.10.2014    </t>
  </si>
  <si>
    <t xml:space="preserve">карта №42 от 17.10.2014    </t>
  </si>
  <si>
    <t xml:space="preserve">карта №43А от 17.10.2014    </t>
  </si>
  <si>
    <t xml:space="preserve">карта №44 от 17.10.2014    </t>
  </si>
  <si>
    <t>Ведущий экономист (отдел маркетинга) карта №45 от 17.10.2014</t>
  </si>
  <si>
    <t xml:space="preserve">карта №46 от 17.10.2014    </t>
  </si>
  <si>
    <t xml:space="preserve">карта №47 от 17.10.2014    </t>
  </si>
  <si>
    <t xml:space="preserve">карта №48А от 17.10.2014    </t>
  </si>
  <si>
    <t xml:space="preserve">карта №49 от 17.10.2014    </t>
  </si>
  <si>
    <t xml:space="preserve">карта №50 от 17.10.2014    </t>
  </si>
  <si>
    <t xml:space="preserve">карта №51 от 17.10.2014    </t>
  </si>
  <si>
    <t xml:space="preserve">Администратор зала (АХО) карта №1 от 17.10.2014    </t>
  </si>
  <si>
    <t xml:space="preserve">карта №8А от 17.10.2014    </t>
  </si>
  <si>
    <t xml:space="preserve">Сторож( вахтер) карта №9 от 17.10.2014    </t>
  </si>
  <si>
    <t xml:space="preserve">карта №10А от 17.10.2014    </t>
  </si>
  <si>
    <t xml:space="preserve">карта №1 от 16.10.2014    </t>
  </si>
  <si>
    <t xml:space="preserve">карта №2 от 16.10.2014    </t>
  </si>
  <si>
    <t xml:space="preserve">карта №4 от 16.10.2014    </t>
  </si>
  <si>
    <t xml:space="preserve">карта №3А от 16.10.2014    </t>
  </si>
  <si>
    <t xml:space="preserve">карта №5 от 16.10.2014    </t>
  </si>
  <si>
    <t xml:space="preserve">карта №6 от 16.10.2014    </t>
  </si>
  <si>
    <t xml:space="preserve">карта №7 от 16.10.2014    </t>
  </si>
  <si>
    <t xml:space="preserve">карта №8 от 16.10.2014    </t>
  </si>
  <si>
    <t xml:space="preserve">карта №9 от 16.10.2014    </t>
  </si>
  <si>
    <t xml:space="preserve">карта №10 от 16.10.2014    </t>
  </si>
  <si>
    <t xml:space="preserve">карта №11 от 16.10.2014    </t>
  </si>
  <si>
    <t xml:space="preserve">карта №12 от 16.10.2014    </t>
  </si>
  <si>
    <t xml:space="preserve">карта №14 от 16.10.2014    </t>
  </si>
  <si>
    <t xml:space="preserve">карта №15 от 16.10.2014    </t>
  </si>
  <si>
    <t xml:space="preserve">карта №16 от 16.10.2014    </t>
  </si>
  <si>
    <t xml:space="preserve">карта №17 от 16.10.2014    </t>
  </si>
  <si>
    <t xml:space="preserve">карта №18 от 16.10.2014    </t>
  </si>
  <si>
    <t xml:space="preserve">карта №19 от 16.10.2014    </t>
  </si>
  <si>
    <t xml:space="preserve">карта №20 от 16.10.2014    </t>
  </si>
  <si>
    <t xml:space="preserve">карта №21 от 16.10.2014    </t>
  </si>
  <si>
    <t xml:space="preserve">карта №25 от 16.10.2014    </t>
  </si>
  <si>
    <t xml:space="preserve">карта №26 от 16.10.2014    </t>
  </si>
  <si>
    <t xml:space="preserve">карта №27 от 16.10.2014    </t>
  </si>
  <si>
    <t xml:space="preserve">карта №28 от 16.10.2014    </t>
  </si>
  <si>
    <t xml:space="preserve">карта №29 от 16.10.2014    </t>
  </si>
  <si>
    <t xml:space="preserve">карта №30 от 16.10.2014    </t>
  </si>
  <si>
    <t xml:space="preserve">карта №31 от 16.10.2014    </t>
  </si>
  <si>
    <t xml:space="preserve">карта №33 от 16.10.2014    </t>
  </si>
  <si>
    <t xml:space="preserve">карта №35 от 16.10.2014    </t>
  </si>
  <si>
    <t xml:space="preserve">карта №32 от 16.10.2014 (каб.медпроф)   </t>
  </si>
  <si>
    <t xml:space="preserve">карта №36 от 16.10.2014    </t>
  </si>
  <si>
    <t>карта №37 от 16.10.2014    (хирургический кабинет)</t>
  </si>
  <si>
    <t xml:space="preserve">карта №38 от 16.10.2014    </t>
  </si>
  <si>
    <t xml:space="preserve">карта №39, №40 от 16.10.2014    </t>
  </si>
  <si>
    <t xml:space="preserve">карта №41 от 16.10.2014    </t>
  </si>
  <si>
    <t xml:space="preserve">карта №42А от 16.10.2014    </t>
  </si>
  <si>
    <t>карта №43 от 16.10.2014    (мед.регистратор)</t>
  </si>
  <si>
    <t xml:space="preserve">карта №44 от 16.10.2014    </t>
  </si>
  <si>
    <t>карта №45 от 16.10.2014    (медсестра процедурная)</t>
  </si>
  <si>
    <t xml:space="preserve">карта №46 от 16.10.2014    </t>
  </si>
  <si>
    <t>карта №47 от 16.10.2014    (ст.мед.регистратор)</t>
  </si>
  <si>
    <t>карта №48А от 16.10.2014    (мед.регистратор)</t>
  </si>
  <si>
    <t>карта №1433.0001 от 08.12.2015</t>
  </si>
  <si>
    <t>карта №1433.0003 от 08.12.2015</t>
  </si>
  <si>
    <t>карта №1433.0004 от 08.12.2015</t>
  </si>
  <si>
    <t>карта №1433.0008 от 08.12.2015</t>
  </si>
  <si>
    <t>карта №1433.0009 от 08.12.2015</t>
  </si>
  <si>
    <t>карта №1433.0010 от 08.12.2015</t>
  </si>
  <si>
    <t>карта №1433.0011 от 08.12.2015</t>
  </si>
  <si>
    <t>карта №1433.0012 от 08.12.2015</t>
  </si>
  <si>
    <t>карта №1433.0013 от 08.12.2015</t>
  </si>
  <si>
    <t>карта №1433.0014 от 08.12.2015</t>
  </si>
  <si>
    <t>карта №1433.0015 от 08.12.2015</t>
  </si>
  <si>
    <t>карта №1433.0016 от 08.12.2015</t>
  </si>
  <si>
    <t>карта №1433.0019 от 08.12.2015</t>
  </si>
  <si>
    <t>карта №1433.0020 от 08.12.2015</t>
  </si>
  <si>
    <t>карта №1433.0023 от 08.12.2015</t>
  </si>
  <si>
    <t>карта №1433.0024 от 08.12.2015</t>
  </si>
  <si>
    <t>карта №1433.0027 от 08.12.2015</t>
  </si>
  <si>
    <t>карта №1433.0028 от 08.12.2015</t>
  </si>
  <si>
    <t>карта №1433.0029 от 08.12.2015</t>
  </si>
  <si>
    <t>карта №1433.0030 от 08.12.2015</t>
  </si>
  <si>
    <t>карта №1433.0033 от 08.12.2015</t>
  </si>
  <si>
    <t>карта №1433.0034 от 08.12.2015</t>
  </si>
  <si>
    <t>карта №1433.0035 от 08.12.2015</t>
  </si>
  <si>
    <t>карта №1433.0036 от 08.12.2015</t>
  </si>
  <si>
    <t>карта №1433.0039 от 08.12.2015</t>
  </si>
  <si>
    <t>карта №1433.0040 от 08.12.2015</t>
  </si>
  <si>
    <t>карта №1433.0043 от 08.12.2015</t>
  </si>
  <si>
    <t>карта №1433.0044 от 08.12.2015</t>
  </si>
  <si>
    <t>карта №1433.0045 от 08.12.2015</t>
  </si>
  <si>
    <t>карта №1433.0048 от 08.12.2015</t>
  </si>
  <si>
    <t>карта №1433.0051 от 08.12.2015</t>
  </si>
  <si>
    <t>карта №1433.0054 от 08.12.2015</t>
  </si>
  <si>
    <t>карта №1433.0055 от 08.12.2015</t>
  </si>
  <si>
    <t>карта №1433.0056 от 08.12.2015</t>
  </si>
  <si>
    <t>карта №1433.0057 от 08.12.2015</t>
  </si>
  <si>
    <t>карта №1433.0060 от 08.12.2015</t>
  </si>
  <si>
    <t>карта №1433.0063 от 08.12.2015</t>
  </si>
  <si>
    <t>карта №1433.0066 от 08.12.2015</t>
  </si>
  <si>
    <t>карта №1433.0067 от 08.12.2015</t>
  </si>
  <si>
    <t>карта №1433.0068 от 08.12.2015</t>
  </si>
  <si>
    <t>карта №1433.0073 от 08.12.2015</t>
  </si>
  <si>
    <t>карта №1433.0074 от 08.12.2015</t>
  </si>
  <si>
    <t>карта №1433.0075 от 08.12.2015</t>
  </si>
  <si>
    <t>карта №1433.0076 от 08.12.2015</t>
  </si>
  <si>
    <t>карта №1433.0077 от 08.12.2015</t>
  </si>
  <si>
    <t>карта №1433.0017А, карта №1433.0018А от 08.12.2015</t>
  </si>
  <si>
    <t>карта №1433.0021А, карта №1433.0022А от 08.12.2015</t>
  </si>
  <si>
    <t>карта №1433.0025А, карта№ 1433.0026А от 08.12.2015</t>
  </si>
  <si>
    <t>карта №1433.0031А, карта №1433.0032А от 08.12.2015</t>
  </si>
  <si>
    <t>карта №1433.0037А, карта №1433.0038А от 08.12.2015</t>
  </si>
  <si>
    <t>карта №1433.0041А, карта №1433.0042А от 08.12.2015</t>
  </si>
  <si>
    <t>карта №1433.0046А, карта №1433.0047А от 08.12.2015</t>
  </si>
  <si>
    <t>карта №1433.0049А, карта №1433.0050А от 08.12.2015</t>
  </si>
  <si>
    <t>карта №1433.0052А, карта №1433.0053А от 08.12.2015</t>
  </si>
  <si>
    <t>карта №1433.0058А, карта №1433.0059А от 08.12.2015</t>
  </si>
  <si>
    <t>карта №1433.0061А, карта №1433.0062А от 08.12.2015</t>
  </si>
  <si>
    <t>карта №1433.0064А, карта №1433.0065А от 08.12.2015</t>
  </si>
  <si>
    <t>карта №1433.0069А, карта №1433.0070А от 08.12.2015</t>
  </si>
  <si>
    <t>карта №1433.0071А, карта №1433.0072А от 08.12.2015</t>
  </si>
  <si>
    <t>карта №7 от 17.10.2014</t>
  </si>
  <si>
    <t>карта №6 от 17.10.2014</t>
  </si>
  <si>
    <t>карта №5 от 17.10.2014</t>
  </si>
  <si>
    <t>карта №4 от 17.10.2014</t>
  </si>
  <si>
    <t>карта №3 от 17.10.2014</t>
  </si>
  <si>
    <t>карта №2 от 17.10.2014</t>
  </si>
  <si>
    <t>карта №1 от 17.10.2014</t>
  </si>
  <si>
    <t>карта №1434.0001 от 01.12.2015</t>
  </si>
  <si>
    <t>карта №1434.0002 от 01.12.2015</t>
  </si>
  <si>
    <t>карта №1434.0003 от 01.12.2015</t>
  </si>
  <si>
    <t>карта №1434.0004 от 01.12.2015</t>
  </si>
  <si>
    <t>карта №1434.0005 от 01.12.2015</t>
  </si>
  <si>
    <t>карта №1434.0006 от 01.12.2015</t>
  </si>
  <si>
    <t>карта №1434.0007 от 01.12.2015</t>
  </si>
  <si>
    <t>карта №1434.0008 от 01.12.2015</t>
  </si>
  <si>
    <t>карта №1434.0009 от 01.12.2015</t>
  </si>
  <si>
    <t>карта №1434.0010 от 01.12.2015</t>
  </si>
  <si>
    <t>карта №1434.0011 от 01.12.2015</t>
  </si>
  <si>
    <t>карта №1434.0013 от 01.12.2015</t>
  </si>
  <si>
    <t>карта №1434.0014 от 01.12.2015</t>
  </si>
  <si>
    <t>карта №1434.0020 от 01.12.2015</t>
  </si>
  <si>
    <t>карта №1434.0012 от 02.12.2015</t>
  </si>
  <si>
    <t>карта №1434.0015 от 08.12.2015</t>
  </si>
  <si>
    <t>карта №1434.0016А, карта №1434.0017А от 02.12.2015</t>
  </si>
  <si>
    <t>карта №1434.0018 от 02.12.2015</t>
  </si>
  <si>
    <t>карта №1434.0019 от 08.12.2015</t>
  </si>
  <si>
    <t>карта №1434.0021 от 02.12.2015</t>
  </si>
  <si>
    <t>карта №1434.0022 от 02.12.2015</t>
  </si>
  <si>
    <t>карта №1434.0023А, карта №1434.0024А от 02.12.2015</t>
  </si>
  <si>
    <t>карта №1434.0025 от 02.12.2015</t>
  </si>
  <si>
    <t>карта №1434.0026 от 02.12.2015</t>
  </si>
  <si>
    <t>карта №1434.0027 от 08.12.2015</t>
  </si>
  <si>
    <t>карта №1434.0028 от 08.12.2015</t>
  </si>
  <si>
    <t>карта №1434.0030 от 08.12.2015</t>
  </si>
  <si>
    <t>карта №1434.0031 от 08.12.2015</t>
  </si>
  <si>
    <t>карта №1434.0032 от 08.12.2015</t>
  </si>
  <si>
    <t>карта №1434.0033 от 08.12.2015</t>
  </si>
  <si>
    <t>карта №1434.0034 от 08.12.2015</t>
  </si>
  <si>
    <t>карта №1434.0035А, карта №1434.0036А от 08.12.2015</t>
  </si>
  <si>
    <t>карта №1434.0037 от 08.12.2015</t>
  </si>
  <si>
    <t>карта №1434.0038А, карта №1434.0039А от 08.12.2015</t>
  </si>
  <si>
    <t>карта №1434.0040 от 08.12.2015</t>
  </si>
  <si>
    <t>карта №1434.0041 от 08.12.2015</t>
  </si>
  <si>
    <t>карта №1434.0042А, карта №1434.0043А от 08.12.2015</t>
  </si>
  <si>
    <t>карта №1434.0049 от 08.12.2015</t>
  </si>
  <si>
    <t>карта №1434.0050, карта №1434.0051 от 08.12.2015</t>
  </si>
  <si>
    <t>карта №1434.0052 от 08.12.2015</t>
  </si>
  <si>
    <t>карта №1434.0053А, карта №1434.0054А от 08.12.2015</t>
  </si>
  <si>
    <t>карта №1434.0055 от 08.12.2015</t>
  </si>
  <si>
    <t>карта №1434.0056 от 08.12.2015</t>
  </si>
  <si>
    <t>карта №1434.0057А, карта №1434.0058А от 08.12.2015</t>
  </si>
  <si>
    <t>карта №1435.0001 от 01.12.2015</t>
  </si>
  <si>
    <t>карта №1435.0002 от 01.12.2015</t>
  </si>
  <si>
    <t>карта №1435.0003 от 01.12.2015</t>
  </si>
  <si>
    <t>карта №1435.0004 от 01.12.2015</t>
  </si>
  <si>
    <t>карта №1435.0005 от 01.12.2015</t>
  </si>
  <si>
    <t>карта №1435.0006 от 01.12.2015</t>
  </si>
  <si>
    <t>карта №1435.0007 от 01.12.2015</t>
  </si>
  <si>
    <t>карта №1435.0008 от 01.12.2015</t>
  </si>
  <si>
    <t>карта №1435.0009 от 01.12.2015</t>
  </si>
  <si>
    <t>карта №1435.0010 от 01.12.2015</t>
  </si>
  <si>
    <t>карта №1435.0011 от 01.12.2015</t>
  </si>
  <si>
    <t>карта №1435.0012 от 01.12.2015</t>
  </si>
  <si>
    <t>карта №1435.0013 от 01.12.2015</t>
  </si>
  <si>
    <t>карта №1435.0014 от 01.12.2015</t>
  </si>
  <si>
    <t>карта №1435.0015А, карта №1435.0016А от 01.12.2015</t>
  </si>
  <si>
    <t>карта №1435.0017 от 02.12.2015</t>
  </si>
  <si>
    <t>карта №1435.0018 от 02.12.2015</t>
  </si>
  <si>
    <t>карта №1435.0019 от 02.12.2015</t>
  </si>
  <si>
    <t>карта №1435.0020 от 02.12.2015</t>
  </si>
  <si>
    <t>карта №1435.0021 от 02.12.2015</t>
  </si>
  <si>
    <t>карта №1435.0022 от 02.12.2015</t>
  </si>
  <si>
    <t>карта №1435.0023 от 02.12.2015</t>
  </si>
  <si>
    <t>карта №1435.0024А, карта №1435.0025А от 02.12.2015</t>
  </si>
  <si>
    <t>карта №1435.0026 от 02.12.2015</t>
  </si>
  <si>
    <t>карта №1435.0027 от 02.12.2015</t>
  </si>
  <si>
    <t>карта №1435.0028 от 02.12.2015</t>
  </si>
  <si>
    <t>карта №1435.0029 от 02.12.2015</t>
  </si>
  <si>
    <t>карта №1435.0030 от 02.12.2015</t>
  </si>
  <si>
    <t>карта №1435.0031А, карта №1435.0032А от 02.12.2015</t>
  </si>
  <si>
    <t>карта №1435.0033 от 02.12.2015</t>
  </si>
  <si>
    <t>карта №1435.0034А, карта №1435.0035А от 02.12.2015</t>
  </si>
  <si>
    <t>карта №1435.0036 от 02.12.2015</t>
  </si>
  <si>
    <t>карта №1435.0037 от 02.12.2015</t>
  </si>
  <si>
    <t>карта №1435.0038 от 02.12.2015</t>
  </si>
  <si>
    <t>карта №1435.0039 от 02.12.2015</t>
  </si>
  <si>
    <t>карта №1435.0040А, карта №1435.0041А от 02.12.2015</t>
  </si>
  <si>
    <t>карта №1435.0042А, карта №1435.0043А от 02.12.2015</t>
  </si>
  <si>
    <t>карта №1435.0044А, карта №1435.0045А от 02.12.2015</t>
  </si>
  <si>
    <t>карта №1435.0046 от 02.12.2015</t>
  </si>
  <si>
    <t>карта №1435.0047 от 02.12.2015</t>
  </si>
  <si>
    <t>карта №1435.0048 от 01.12.2015</t>
  </si>
  <si>
    <t>карта №1435.0049А, карта №1435.0050А от 01.12.2015</t>
  </si>
  <si>
    <t>карта №1435.0051 от 02.12.2015</t>
  </si>
  <si>
    <t>карта №1435.0052А, карта №1435.0053А от 02.12.2015</t>
  </si>
  <si>
    <t xml:space="preserve">Палата ранней реабилитации </t>
  </si>
  <si>
    <t>это был раньше пищеблок</t>
  </si>
  <si>
    <t>Центр реабилит, +приемное отделение была оценка</t>
  </si>
  <si>
    <t>карта №1434.0059 от 08.12.2015</t>
  </si>
  <si>
    <t>карта №1434.0060 от 08.12.2015</t>
  </si>
  <si>
    <t>карта №1434.0062 от 08.12.2015</t>
  </si>
  <si>
    <t>карта №1434.0063 от 08.12.2015</t>
  </si>
  <si>
    <t>карта №1434.0064 от 08.12.2015</t>
  </si>
  <si>
    <t>карта №1434.0061 от 08.12.2015</t>
  </si>
  <si>
    <t>карта №1434.0047 от 08.12.2015</t>
  </si>
  <si>
    <t>карта №1434.0048 от 08.12.2015</t>
  </si>
  <si>
    <t>карта №1434.0044 от 08.12.2015</t>
  </si>
  <si>
    <t>руководитель центра -</t>
  </si>
  <si>
    <t>врач-невролог</t>
  </si>
  <si>
    <t>карта №1434.0046 от 08.12.2015</t>
  </si>
  <si>
    <t>карта №1434.0045 от 08.12.2015</t>
  </si>
  <si>
    <t>карта №1434.0065 от 08.12.2015</t>
  </si>
  <si>
    <t>карта №1434.0066 от 08.12.2015</t>
  </si>
  <si>
    <t xml:space="preserve">карта №1 от 05.12.2016    </t>
  </si>
  <si>
    <t xml:space="preserve">карта №2, карта №3, карта №4 от 05.12.2016    </t>
  </si>
  <si>
    <t xml:space="preserve">карта №5 от 05.12.2016    </t>
  </si>
  <si>
    <t xml:space="preserve">карта №6, карта №7  от 05.12.2016    </t>
  </si>
  <si>
    <t xml:space="preserve">карта №8 от 05.12.2016    </t>
  </si>
  <si>
    <t xml:space="preserve">карта №9 от 05.12.2016    </t>
  </si>
  <si>
    <t xml:space="preserve">карта №10 от 05.12.2016    </t>
  </si>
  <si>
    <t xml:space="preserve">карта №11 от 05.12.2016    </t>
  </si>
  <si>
    <t xml:space="preserve">карта №12 от 05.12.2016    </t>
  </si>
  <si>
    <t xml:space="preserve">карта №13 от 05.12.2016    </t>
  </si>
  <si>
    <t xml:space="preserve">карта №14 от 05.12.2016    </t>
  </si>
  <si>
    <t xml:space="preserve">карта №15 от 05.12.2016    </t>
  </si>
  <si>
    <t xml:space="preserve">здесь просто регистратор карта №16 от 05.12.2016    </t>
  </si>
  <si>
    <t xml:space="preserve">карта №17 от 05.12.2016    </t>
  </si>
  <si>
    <t xml:space="preserve">карта №18 от 05.12.2016    </t>
  </si>
  <si>
    <t xml:space="preserve">Терапевтическое отделение  </t>
  </si>
  <si>
    <t xml:space="preserve">карта №19 от 05.12.2016    </t>
  </si>
  <si>
    <t xml:space="preserve">карта №20, карта №21 от 05.12.2016    </t>
  </si>
  <si>
    <t xml:space="preserve">карта №22 от 05.12.2016    </t>
  </si>
  <si>
    <t xml:space="preserve">карта №23 от 05.12.2016    </t>
  </si>
  <si>
    <t xml:space="preserve">карта №24 от 05.12.2016    </t>
  </si>
  <si>
    <t xml:space="preserve">карта №25 от 05.12.2016    </t>
  </si>
  <si>
    <t xml:space="preserve">карта №26 от 05.12.2016    </t>
  </si>
  <si>
    <t xml:space="preserve">карта №27 от 05.12.2016    </t>
  </si>
  <si>
    <t xml:space="preserve">карта №28 от 05.12.2016    </t>
  </si>
  <si>
    <t xml:space="preserve">карта №29 от 05.12.2016    </t>
  </si>
  <si>
    <t xml:space="preserve">карта №30 от 05.12.2016    </t>
  </si>
  <si>
    <t xml:space="preserve">карта №31, карта №32, карта №33 от 05.12.2016    </t>
  </si>
  <si>
    <t xml:space="preserve">карта №34 от 05.12.2016    </t>
  </si>
  <si>
    <t xml:space="preserve">карта №35, карта №36 от 05.12.2016    </t>
  </si>
  <si>
    <t xml:space="preserve">карта №37 от 05.12.2016    </t>
  </si>
  <si>
    <t xml:space="preserve">карта №38 от 05.12.2016    </t>
  </si>
  <si>
    <t xml:space="preserve">карта №39 от 05.12.2016    </t>
  </si>
  <si>
    <t xml:space="preserve">карта №40, карта №41 от 05.12.2016    </t>
  </si>
  <si>
    <t xml:space="preserve">карта №42 от 05.12.2016    </t>
  </si>
  <si>
    <t xml:space="preserve">карта №45 от 05.12.2016    </t>
  </si>
  <si>
    <t xml:space="preserve">карта №43, карта №44 от 05.12.2016    </t>
  </si>
  <si>
    <t xml:space="preserve">карта №46 от 05.12.2016    </t>
  </si>
  <si>
    <t xml:space="preserve">карта №47 от 05.12.2016    </t>
  </si>
  <si>
    <t xml:space="preserve">карта №48 от 05.12.2016    </t>
  </si>
  <si>
    <t xml:space="preserve">карта №49 от 05.12.2016    </t>
  </si>
  <si>
    <t xml:space="preserve">карта №50 от 05.12.2016    </t>
  </si>
  <si>
    <t xml:space="preserve">карта №51 от 05.12.2016    </t>
  </si>
  <si>
    <t xml:space="preserve">карта №52 от 05.12.2016    </t>
  </si>
  <si>
    <t xml:space="preserve">карта №53 от 05.12.2016    </t>
  </si>
  <si>
    <t xml:space="preserve">карта №54, карта №55, карта №56 от 05.12.2016    </t>
  </si>
  <si>
    <t xml:space="preserve">карта №57 от 05.12.2016    </t>
  </si>
  <si>
    <t xml:space="preserve">карта №58 от 05.12.2016    </t>
  </si>
  <si>
    <t xml:space="preserve">карта №59 от 05.12.2016    </t>
  </si>
  <si>
    <t xml:space="preserve">карта №60 от 05.12.2016    </t>
  </si>
  <si>
    <t xml:space="preserve">карта №61 от 05.12.2016    </t>
  </si>
  <si>
    <t xml:space="preserve">карта №62 от 05.12.2016    </t>
  </si>
  <si>
    <t xml:space="preserve">карта №63 от 05.12.2016    </t>
  </si>
  <si>
    <t xml:space="preserve">карта №64 от 05.12.2016    </t>
  </si>
  <si>
    <t>карта №5 от 05.12.2016 (КБ4)</t>
  </si>
  <si>
    <t>карта №65, карта №66, карта №67 от 05.12.2016 (КБ3)</t>
  </si>
  <si>
    <t>карта №69 от 05.12.2016 (КБ3)</t>
  </si>
  <si>
    <t>карта №9 от 05.12.2016 (КБ4)</t>
  </si>
  <si>
    <t>карта №11, карта №12 от 05.12.2016 (КБ4)</t>
  </si>
  <si>
    <t>карта №49 от 17.10.2014    (Пол3)</t>
  </si>
  <si>
    <t>карта №50 от 17.10.2014    (Пол3)</t>
  </si>
  <si>
    <t>карта №51 от 17.10.2014    (Пол3)</t>
  </si>
  <si>
    <t>карта №52 от 17.10.2014    (Пол3)</t>
  </si>
  <si>
    <t>карта №53 от 17.10.2014    (Пол3)</t>
  </si>
  <si>
    <t>карта №54 от 17.10.2014    (Пол3)</t>
  </si>
  <si>
    <t>карта №58 от 17.10.2014    (Пол3)</t>
  </si>
  <si>
    <t>карта №59 от 17.10.2014    (Пол3)</t>
  </si>
  <si>
    <t>карта №60 от 17.10.2014    (Пол3)</t>
  </si>
  <si>
    <t>карта №57 от 17.10.2014    (Пол3)</t>
  </si>
  <si>
    <t>карта №14 от 05.12.2016    (КБ4)</t>
  </si>
  <si>
    <t>карта №15 от 05.12.2016    (КБ4)</t>
  </si>
  <si>
    <t>карта №16 от 05.12.2016    (КБ4)</t>
  </si>
  <si>
    <t>карта №17 от 05.12.2016    (КБ4)</t>
  </si>
  <si>
    <t>карта №18 от 05.12.2016    (КБ4)</t>
  </si>
  <si>
    <t>карта №19 от 05.12.2016    (КБ4)</t>
  </si>
  <si>
    <t xml:space="preserve">карта №31, карта №32 от 05.12.2016    </t>
  </si>
  <si>
    <t xml:space="preserve">карта №33, карта №34 от 05.12.2016    </t>
  </si>
  <si>
    <t xml:space="preserve">карта №35 от 05.12.2016    </t>
  </si>
  <si>
    <t xml:space="preserve">карта №36 от 05.12.2016    </t>
  </si>
  <si>
    <t xml:space="preserve">карта №40 от 05.12.2016    </t>
  </si>
  <si>
    <t xml:space="preserve">карта №41 от 05.12.2016    </t>
  </si>
  <si>
    <t>врач-травматолог-ортопед               карта №39 от 05.12.2016</t>
  </si>
  <si>
    <t xml:space="preserve">карта №43 от 05.12.2016    </t>
  </si>
  <si>
    <t xml:space="preserve">карта №44 от 05.12.2016    </t>
  </si>
  <si>
    <t xml:space="preserve">карта №54 от 05.12.2016    </t>
  </si>
  <si>
    <t xml:space="preserve">карта №56 от 05.12.2016    </t>
  </si>
  <si>
    <t xml:space="preserve">карта №55 от 05.12.2016    </t>
  </si>
  <si>
    <t xml:space="preserve">карта №63, карта №54 от 05.12.2016    </t>
  </si>
  <si>
    <t xml:space="preserve">карта №65 от 05.12.2016    </t>
  </si>
  <si>
    <t xml:space="preserve">карта №66 от 05.12.2016    </t>
  </si>
  <si>
    <t xml:space="preserve">карта №67 от 05.12.2016    </t>
  </si>
  <si>
    <t xml:space="preserve">карта №69, карта №70 от 05.12.2016    </t>
  </si>
  <si>
    <t>мед.регистратор карта № 68 от 05.12.2016</t>
  </si>
  <si>
    <t xml:space="preserve">карта №1 от 20.12.2016    </t>
  </si>
  <si>
    <t xml:space="preserve">карта №2 от 20.12.2016    </t>
  </si>
  <si>
    <t xml:space="preserve">карта №3 от 20.12.2016    </t>
  </si>
  <si>
    <t>карта №6, карта №7 от 05.12.2016  (КБ4)</t>
  </si>
  <si>
    <t>карта №8 от 05.12.2016 (КБ4)</t>
  </si>
  <si>
    <t>карта №3, карта №4, карта №5 от 05.12.2016  (КБ3)</t>
  </si>
  <si>
    <t>карта №6 от 05.12.2016 (КБ3)</t>
  </si>
  <si>
    <t>карта №7 от 05.12.2016    (КБ4)</t>
  </si>
  <si>
    <t>карта №8 от 05.12.2016    (КБ4)</t>
  </si>
  <si>
    <t>карта №9 от 05.12.2016    (КБ4)</t>
  </si>
  <si>
    <t>карта №10 от 05.12.2016    (КБ4)</t>
  </si>
  <si>
    <t>карта №11 от 05.12.2016    (КБ4)</t>
  </si>
  <si>
    <t>карта №12 от 05.12.2016    (КБ4)</t>
  </si>
  <si>
    <t xml:space="preserve">карта №16 от 05.12.2016    </t>
  </si>
  <si>
    <t xml:space="preserve">карта №20 от 05.12.2016    </t>
  </si>
  <si>
    <t xml:space="preserve">карта №21 от 05.12.2016    </t>
  </si>
  <si>
    <t xml:space="preserve">карта №28, карта №29 от 05.12.2016    </t>
  </si>
  <si>
    <t xml:space="preserve">карта №31 от 05.12.2016    </t>
  </si>
  <si>
    <t xml:space="preserve">карта №32, карта №33 от 05.12.2016    </t>
  </si>
  <si>
    <t>карта №3 от 05.12.2016  (КБ4)</t>
  </si>
  <si>
    <t>(брат) карта №1 от 05.12.2016     (КБ4)</t>
  </si>
  <si>
    <t>карта №2 от 05.12.2016   (КБ4)</t>
  </si>
  <si>
    <t>карта №4 от 05.12.2016   (КБ4)</t>
  </si>
  <si>
    <t>карта №68 от 05.12.2016 (КБ4)</t>
  </si>
  <si>
    <t>карта №70 от 05.12.2016 (КБ4)</t>
  </si>
  <si>
    <t>карта №1 от 03.11.2017</t>
  </si>
  <si>
    <t>карта №2 от 03.11.2017</t>
  </si>
  <si>
    <t>карта №3 от 03.11.2017</t>
  </si>
  <si>
    <t>карта №4 от 03.11.2017</t>
  </si>
  <si>
    <t>карта №5 от 03.11.2017 медсестра функциональной диагностики</t>
  </si>
  <si>
    <t>Рентгенкабинет</t>
  </si>
  <si>
    <t xml:space="preserve">карта №11 от 03.11.2017  </t>
  </si>
  <si>
    <t xml:space="preserve">карта №12 от 03.11.2017  </t>
  </si>
  <si>
    <t xml:space="preserve">карта №13 от 03.11.2017  </t>
  </si>
  <si>
    <t xml:space="preserve">карта №14 от 03.11.2017  </t>
  </si>
  <si>
    <t xml:space="preserve">карта №15 от 03.11.2017  </t>
  </si>
  <si>
    <t xml:space="preserve">карта №16, карта №17 от 03.11.2017  </t>
  </si>
  <si>
    <t xml:space="preserve">карта №18 от 03.11.2017  </t>
  </si>
  <si>
    <t xml:space="preserve">карта №19 от 03.11.2017  </t>
  </si>
  <si>
    <t xml:space="preserve">карта №20 от 03.11.2017  </t>
  </si>
  <si>
    <t xml:space="preserve">карта №21 от 03.11.2017  </t>
  </si>
  <si>
    <t xml:space="preserve">карта №22 от 03.11.2017    </t>
  </si>
  <si>
    <t xml:space="preserve">карта №23 от 03.11.2017    </t>
  </si>
  <si>
    <t xml:space="preserve">карта №24 от 03.11.2017    </t>
  </si>
  <si>
    <t xml:space="preserve">карта №25 от 03.11.2017    </t>
  </si>
  <si>
    <t xml:space="preserve">карта №26 от 03.11.2017    </t>
  </si>
  <si>
    <t xml:space="preserve">карта №27 от 03.11.2017    </t>
  </si>
  <si>
    <t xml:space="preserve">карта №28 от 03.11.2017    </t>
  </si>
  <si>
    <t xml:space="preserve">карта №29 от 03.11.2017    </t>
  </si>
  <si>
    <t xml:space="preserve">карта №30 от 03.11.2017    </t>
  </si>
  <si>
    <t xml:space="preserve">карта №31 от 03.11.2017    </t>
  </si>
  <si>
    <t xml:space="preserve">карта №32 от 03.11.2017    </t>
  </si>
  <si>
    <t xml:space="preserve">карта №33 от 03.11.2017    </t>
  </si>
  <si>
    <t xml:space="preserve">карта №34 от 03.11.2017    </t>
  </si>
  <si>
    <t xml:space="preserve">карта №35 от 03.11.2017    </t>
  </si>
  <si>
    <t xml:space="preserve">карта №36 от 03.11.2017    </t>
  </si>
  <si>
    <t xml:space="preserve">карта №37 от 03.11.2017    </t>
  </si>
  <si>
    <t xml:space="preserve">карта №38 от 03.11.2017    </t>
  </si>
  <si>
    <t>карта №41 от 03.11.2017 (КБ3)</t>
  </si>
  <si>
    <t xml:space="preserve">карта №42 от 03.11.2017   </t>
  </si>
  <si>
    <t xml:space="preserve">карта №43 от 03.11.2017    </t>
  </si>
  <si>
    <t xml:space="preserve">карта №44 от 03.11.2017    </t>
  </si>
  <si>
    <t xml:space="preserve">карта №46 от 03.11.2017    </t>
  </si>
  <si>
    <t xml:space="preserve">карта №45, карта №47 от 03.11.2017    </t>
  </si>
  <si>
    <t xml:space="preserve">карта №48, карта №49 от 03.11.2017    </t>
  </si>
  <si>
    <t xml:space="preserve">карта №50 от 03.11.2017    </t>
  </si>
  <si>
    <t xml:space="preserve">карта №51 от 03.11.2017    </t>
  </si>
  <si>
    <t xml:space="preserve">карта №52 от 03.11.2017    </t>
  </si>
  <si>
    <t xml:space="preserve">карта №53, карта №54 от 03.11.2017    </t>
  </si>
  <si>
    <t xml:space="preserve">карта №55, карта №56 от 03.11.2017    </t>
  </si>
  <si>
    <t xml:space="preserve">карта №57 от 03.11.2017    </t>
  </si>
  <si>
    <t xml:space="preserve">карта №58 от 03.11.2017    </t>
  </si>
  <si>
    <t xml:space="preserve">карта №59 от 03.11.2017    </t>
  </si>
  <si>
    <t>карта №60 от 03.11.2017</t>
  </si>
  <si>
    <t>карта №61 от 03.11.2017</t>
  </si>
  <si>
    <t>карта №63 от 03.11.2017</t>
  </si>
  <si>
    <t>карта №64 от 03.11.2017</t>
  </si>
  <si>
    <t>карта №65 от 03.11.2017</t>
  </si>
  <si>
    <t>карта №66 от 03.11.2017</t>
  </si>
  <si>
    <t>карта №67 от 03.11.2017</t>
  </si>
  <si>
    <t>карта №68 от 03.11.2017</t>
  </si>
  <si>
    <t>карта №69 от 03.11.2017</t>
  </si>
  <si>
    <t>карта №70 от 03.11.2017</t>
  </si>
  <si>
    <t xml:space="preserve">карта №71 от 03.11.2017    </t>
  </si>
  <si>
    <t xml:space="preserve">карта №72 от 03.11.2017    </t>
  </si>
  <si>
    <t xml:space="preserve">карта №73 от 03.11.2017    </t>
  </si>
  <si>
    <t xml:space="preserve">карта №74 от 03.11.2017    </t>
  </si>
  <si>
    <t xml:space="preserve">карта №75 от 03.11.2017    </t>
  </si>
  <si>
    <t>карта №76 от 03.11.2017</t>
  </si>
  <si>
    <t>карта №77 от 03.11.2017</t>
  </si>
  <si>
    <t>карта №78 от 03.11.2017</t>
  </si>
  <si>
    <t>карта №79 от 03.11.2017</t>
  </si>
  <si>
    <t>карта №80 от 03.11.2017</t>
  </si>
  <si>
    <t>карта №81 от 03.11.2017</t>
  </si>
  <si>
    <t>карта №82 от 03.11.2017</t>
  </si>
  <si>
    <t>карта №83 от 03.11.2017</t>
  </si>
  <si>
    <t>карта №84 от 03.11.2017</t>
  </si>
  <si>
    <t>карта №85 от 03.11.2017</t>
  </si>
  <si>
    <t>карта №86 от 03.11.2017</t>
  </si>
  <si>
    <t>карта №87 от 03.11.2017</t>
  </si>
  <si>
    <t>карта №88 от 03.11.2017</t>
  </si>
  <si>
    <t>карта №89 от 03.11.2017</t>
  </si>
  <si>
    <t>карта №90 от 03.11.2017</t>
  </si>
  <si>
    <t>карта №91 от 03.11.2017</t>
  </si>
  <si>
    <t>карта №92 от 03.11.2017</t>
  </si>
  <si>
    <t>карта №93 от 03.11.2017</t>
  </si>
  <si>
    <t>карта №94 от 03.11.2017</t>
  </si>
  <si>
    <t>карта №95 от 03.11.2017</t>
  </si>
  <si>
    <t>карта №96 от 03.11.2017</t>
  </si>
  <si>
    <t>карта №97 от 03.11.2017</t>
  </si>
  <si>
    <t>карта №98 от 03.11.2017</t>
  </si>
  <si>
    <t>карта №99, карта №100, карта №101 от 03.11.2017</t>
  </si>
  <si>
    <t>карта №102 от 03.11.2017</t>
  </si>
  <si>
    <t>карта №103 от 03.11.2017</t>
  </si>
  <si>
    <t>карта №104 от 03.11.2017</t>
  </si>
  <si>
    <t xml:space="preserve">Отделение анестезиологии - реанимации </t>
  </si>
  <si>
    <t>Отделение анестезиологии - реанимации</t>
  </si>
  <si>
    <t>карта №105 от 03.11.2017</t>
  </si>
  <si>
    <t>карта №106, карта №107, карта №108, карта №109 от 03.11.2017</t>
  </si>
  <si>
    <t>карта №110 от 03.11.2017</t>
  </si>
  <si>
    <t>карта №111 от 03.11.2017</t>
  </si>
  <si>
    <t>карта №1, карта №2, карта №3 от 20.11.2017(КБ1, КБ3, КБ4)</t>
  </si>
  <si>
    <t>карта №4 от 20.11.2017(КБ1, КБ3, КБ4)</t>
  </si>
  <si>
    <t>карта №5 от 20.11.2017(КБ1, КБ3, КБ4)</t>
  </si>
  <si>
    <t>карта №6 от 20.11.2017 (Все КБ, пол1, пол5)</t>
  </si>
  <si>
    <t>карта №12, карта №13 от 20.11.2017 (Все КБ, пол1, пол5)</t>
  </si>
  <si>
    <t>карта №24 от 20.11.2017 (Все КБ, пол1, пол5)</t>
  </si>
  <si>
    <t>карта №25 от 20.11.2017 (Все КБ, пол1, пол5)</t>
  </si>
  <si>
    <t>карта №26 от 20.11.2017 (Все КБ, пол1, пол5)</t>
  </si>
  <si>
    <t>карта №27 от 20.11.2017 (Все КБ, пол1, пол5)</t>
  </si>
  <si>
    <t>карта №28 от 20.11.2017</t>
  </si>
  <si>
    <t>карта №29 от 20.11.2017</t>
  </si>
  <si>
    <t>карта №30 от 20.11.2017</t>
  </si>
  <si>
    <t>карта №31 от 20.11.2017</t>
  </si>
  <si>
    <t>карта №32 от 20.11.2017</t>
  </si>
  <si>
    <t>карта №33 от 20.11.2017</t>
  </si>
  <si>
    <t>карта №34 от 20.11.2017</t>
  </si>
  <si>
    <t>карта №35 от 20.11.2017</t>
  </si>
  <si>
    <t>карта №36 от 20.11.2017</t>
  </si>
  <si>
    <t>карта №37 от 20.11.2017</t>
  </si>
  <si>
    <t>карта №38 от 20.11.2017</t>
  </si>
  <si>
    <t>карта №39 от 20.11.2017</t>
  </si>
  <si>
    <t>карта №40 от 20.11.2017</t>
  </si>
  <si>
    <t>карта №41 от 20.11.2017</t>
  </si>
  <si>
    <t>карта №42 от 20.11.2017</t>
  </si>
  <si>
    <t>карта №43 от 20.11.2017</t>
  </si>
  <si>
    <t>карта №44 от 20.11.2017</t>
  </si>
  <si>
    <t>карта №45 от 20.11.2017</t>
  </si>
  <si>
    <t>карта №46 от 20.11.2017</t>
  </si>
  <si>
    <t>карта №47 от 20.11.2017</t>
  </si>
  <si>
    <t>карта №49 от 20.11.2017</t>
  </si>
  <si>
    <t>карта №48 от 20.11.2017</t>
  </si>
  <si>
    <t>карта №52 от 20.11.2017(пол5)</t>
  </si>
  <si>
    <t>карта №58 от 20.11.2017(пол5)</t>
  </si>
  <si>
    <t>карта №57 от 20.11.2017(пол5)</t>
  </si>
  <si>
    <t>карта №56 от 20.11.2017(пол5)</t>
  </si>
  <si>
    <t>кастелянша карта №59 от 20.11.2017</t>
  </si>
  <si>
    <t>уборщик карта №60 от 20.11.2017</t>
  </si>
  <si>
    <t>уборщик служебных помещений карта №61 от 20.11.2017</t>
  </si>
  <si>
    <t xml:space="preserve">карта №63 от 20.11.2017    </t>
  </si>
  <si>
    <t>карта №68 от 05.12.2016 (КБ3) карта №10 от 05.12.2016 (КБ4)</t>
  </si>
  <si>
    <t>карта № 62 от 20.11.2017 (пол1)</t>
  </si>
  <si>
    <t>карта №1 от 26.10.2017</t>
  </si>
  <si>
    <t>карта №2 от 26.10.2017</t>
  </si>
  <si>
    <t>карта №3 от 26.10.2017</t>
  </si>
  <si>
    <t>карта №4 от 26.10.2017</t>
  </si>
  <si>
    <t>карта №5 от 26.10.2017</t>
  </si>
  <si>
    <t>карта №6 от 26.10.2017</t>
  </si>
  <si>
    <t>карта №7 от 26.10.2017</t>
  </si>
  <si>
    <t>карта №8 от 26.10.2017</t>
  </si>
  <si>
    <t>карта №9 от 26.10.2017</t>
  </si>
  <si>
    <t>карта №10 от 26.10.2017</t>
  </si>
  <si>
    <t>карта №11 от 26.10.2017</t>
  </si>
  <si>
    <t>карта №12 от 26.10.2017</t>
  </si>
  <si>
    <t>карта №13 от 26.10.2017</t>
  </si>
  <si>
    <t>карта №14 от 26.10.2017</t>
  </si>
  <si>
    <t>карта №15 от 26.10.2017</t>
  </si>
  <si>
    <t>карта №16 от 26.10.2017</t>
  </si>
  <si>
    <t>карта №17 от 26.10.2017</t>
  </si>
  <si>
    <t>карта №18 от 26.10.2017</t>
  </si>
  <si>
    <t>карта №19 от 26.10.2017</t>
  </si>
  <si>
    <t>карта №20 от 26.10.2017</t>
  </si>
  <si>
    <t>карта №21 от 26.10.2017</t>
  </si>
  <si>
    <t>карта №22, карта №23 от 26.10.2017</t>
  </si>
  <si>
    <t>карта №24 от 26.10.2017</t>
  </si>
  <si>
    <t>карта №25 от 26.10.2017</t>
  </si>
  <si>
    <t>карта №26 от 26.10.2017</t>
  </si>
  <si>
    <t>карта №27 от 26.10.2017</t>
  </si>
  <si>
    <t>карта №28 от 26.10.2017</t>
  </si>
  <si>
    <t>карта №29 от 26.10.2017</t>
  </si>
  <si>
    <t>карта №30 от 26.10.2017</t>
  </si>
  <si>
    <t>карта №31 от 26.10.2017</t>
  </si>
  <si>
    <t>карта №32 от 26.10.2017</t>
  </si>
  <si>
    <t>карта №33 от 26.10.2017</t>
  </si>
  <si>
    <t>карта №34, карта №35 от 26.10.2017</t>
  </si>
  <si>
    <t>карта №36 от 26.10.2017</t>
  </si>
  <si>
    <t>карта №37 от 26.10.2017</t>
  </si>
  <si>
    <t>карта №38 от 26.10.2017</t>
  </si>
  <si>
    <t>карта №39, карта №40 от 26.10.2017</t>
  </si>
  <si>
    <t>карта №41 от 26.10.2017</t>
  </si>
  <si>
    <t>карта №42 от 26.10.2017</t>
  </si>
  <si>
    <t>карта № 43 от 26.10.2017 (КБ1, КБ3)</t>
  </si>
  <si>
    <t>карта № 44 от 26.10.2017 (КБ1, КБ3)</t>
  </si>
  <si>
    <t>карта № 45 от 26.10.2017 (КБ1, КБ3)</t>
  </si>
  <si>
    <t>карта № 46 от 26.10.2017 (КБ1, КБ3)</t>
  </si>
  <si>
    <t>карта № 47 от 26.10.2017 (КБ1, КБ3)</t>
  </si>
  <si>
    <t>карта № 48 от 26.10.2017 (КБ1, КБ3)</t>
  </si>
  <si>
    <t>карта № 49 от 26.10.2017 (КБ1, КБ3)</t>
  </si>
  <si>
    <t>карта № 50 от 26.10.2017 (КБ1, КБ3)</t>
  </si>
  <si>
    <t>карта № 51, карта №52, карта №53 от 26.10.2017 (КБ1, КБ3)</t>
  </si>
  <si>
    <t>карта № 54 от 26.10.2017 (КБ1, КБ3)</t>
  </si>
  <si>
    <t>карта № 55 от 26.10.2017 (КБ1, КБ3)</t>
  </si>
  <si>
    <t>карта № 56, карта №57 от 26.10.2017 (КБ1, КБ3)</t>
  </si>
  <si>
    <t>карта № 58 от 26.10.2017 (КБ1, КБ3)</t>
  </si>
  <si>
    <t>карта № 59 от 26.10.2017 (КБ1, КБ3)</t>
  </si>
  <si>
    <t>карта № 60 от 26.10.2017 (КБ1, КБ3)</t>
  </si>
  <si>
    <t>карта № 61, карта №62 от 26.10.2017 (КБ1, КБ3)</t>
  </si>
  <si>
    <t>карта №68 от 26.10.2017</t>
  </si>
  <si>
    <t>карта №69 от 26.10.2017</t>
  </si>
  <si>
    <t>карта №74 от 26.10.2017</t>
  </si>
  <si>
    <t>карта №75 от 26.10.2017</t>
  </si>
  <si>
    <t>карта №76 от 26.10.2017</t>
  </si>
  <si>
    <t>карта №77 от 26.10.2017</t>
  </si>
  <si>
    <t>карта №78 от 26.10.2017</t>
  </si>
  <si>
    <t>карта №80 от 26.10.2017</t>
  </si>
  <si>
    <t>карта №81 от 26.10.2017</t>
  </si>
  <si>
    <t>карта №82 от 26.10.2017</t>
  </si>
  <si>
    <t>карта №83 от 26.10.2017</t>
  </si>
  <si>
    <t>карта №84 от 26.10.2017</t>
  </si>
  <si>
    <t>карта №69 от 05.12.2016 (КБ4), карта №51 от 20.11.2017 (пол5)</t>
  </si>
  <si>
    <t>карта №85 от 26.10.2017</t>
  </si>
  <si>
    <t>карта №86 от 26.10.2017</t>
  </si>
  <si>
    <t>карта №87 от 26.10.2017</t>
  </si>
  <si>
    <t>карта №88 от 26.10.2017</t>
  </si>
  <si>
    <t>карта №89 от 26.10.2017</t>
  </si>
  <si>
    <t>карта №90 от 26.10.2017</t>
  </si>
  <si>
    <t>карта №91 от 26.10.2017</t>
  </si>
  <si>
    <t>карта №92 от 26.10.2017</t>
  </si>
  <si>
    <t>карта №93 от 26.10.2017</t>
  </si>
  <si>
    <t>карта №94, карта №95 от 26.10.2017</t>
  </si>
  <si>
    <t>карта №96 от 26.10.2017</t>
  </si>
  <si>
    <t>карта №97 от 26.10.2017</t>
  </si>
  <si>
    <t>карта №98 от 26.10.2017</t>
  </si>
  <si>
    <t>карта №99 от 26.10.2017</t>
  </si>
  <si>
    <t>карта №100 от 26.10.2017</t>
  </si>
  <si>
    <t>карта №101, карта №102 от 26.10.2017</t>
  </si>
  <si>
    <t>карта №103 от 26.10.2017</t>
  </si>
  <si>
    <t>карта №104, карта №105 от 26.10.2017</t>
  </si>
  <si>
    <t>карта №106 от 26.10.2017</t>
  </si>
  <si>
    <t>карта №107 от 26.10.2017</t>
  </si>
  <si>
    <t>карта №108 от 26.10.2017</t>
  </si>
  <si>
    <t>карта №109 от 26.10.2017</t>
  </si>
  <si>
    <t>карта №110 от 26.10.2017</t>
  </si>
  <si>
    <t>карта №111 от 26.10.2017</t>
  </si>
  <si>
    <t>карта №79 от 26.10.2017</t>
  </si>
  <si>
    <t>Тождество спецоценки</t>
  </si>
  <si>
    <t>карта №55 от 20.11.2017</t>
  </si>
  <si>
    <t>карта №54 от 20.11.2017</t>
  </si>
  <si>
    <t>Заведующий отделением- врач по клинико-экспертной работе(врач методист) Зав.отделом                       карта №1433.0005(0006) от 08.12.2015</t>
  </si>
  <si>
    <t>карта №9 от 03.11.2017 (КБ2)</t>
  </si>
  <si>
    <t>карта №10 от 03.11.2017 (КБ2)</t>
  </si>
  <si>
    <t>карта № 64 от 26.10.2017 (КБ1)</t>
  </si>
  <si>
    <t>карта № 65 от 26.10.2017 (КБ1)</t>
  </si>
  <si>
    <t>карта №63 от 26.10.2017 (КБ1)</t>
  </si>
  <si>
    <t>карта №66 от 26.10.2017 (КБ1)</t>
  </si>
  <si>
    <t>карта №67 от 26.10.2017 (КБ1)</t>
  </si>
  <si>
    <t>карта №7 от 03.11.2017 (КБ2)</t>
  </si>
  <si>
    <t>карта №8 от 03.11.2017 (КБ2)</t>
  </si>
  <si>
    <t>карта №70 от 26.10.2017 (КБ1)</t>
  </si>
  <si>
    <t>карта №71 от 26.10.2017 (КБ1)</t>
  </si>
  <si>
    <t xml:space="preserve">карта №39, карта №40 от 03.11.2017 (КБ3) </t>
  </si>
  <si>
    <t>карта №50 от 20.11.2017 (пол №5)</t>
  </si>
  <si>
    <t>карта №6 от 03.11.2017 (КБ2)</t>
  </si>
  <si>
    <t>мс ультразвук.диагностики                                                       карта №13 от 05.12.2016 (КБ4)</t>
  </si>
  <si>
    <t>карта №70 от 05.12.2016 (КБ3),                                                    карта №1, карта №2 от 05.12.2016 (КБ3)</t>
  </si>
  <si>
    <t>Карта №14, №15, №16, №17, №18, №19, №20, №21, №22, №23             от 20.11.2017 (Все КБ, пол1, пол5)</t>
  </si>
  <si>
    <t xml:space="preserve">карта №7, №8, №9, №10, №11 от 20.11.2017                                          (Все КБ, пол1, пол5)   </t>
  </si>
  <si>
    <t>карта №15 от 05.12.2016     (В КБ4)</t>
  </si>
  <si>
    <t>карта №1433.0029 от 08.12.2015(терапия 2)</t>
  </si>
  <si>
    <t>карта №34, карта №35 от 26.10.2017(мс палатная)</t>
  </si>
  <si>
    <t>врач-офтальмолог, карта №1434.0029 от 08.12.2015 (общебольничный мед перс)</t>
  </si>
  <si>
    <t>медсестра-регистратор                                                                 карта №62 от 03.11.2017</t>
  </si>
  <si>
    <t>карта №1435.0054 от 01.12.2015 (КБ3)</t>
  </si>
  <si>
    <t>карта №1435.0056 от 01.12.2015 (КБ3)</t>
  </si>
  <si>
    <t>карта №1435.0055 от 01.12.2015 (КБ3)</t>
  </si>
  <si>
    <t>карта №1435.0057 от 01.12.2015 (КБ3)</t>
  </si>
  <si>
    <t>карта №1435.0058А, карта №1435.0059А от 01.12.2015 (КБ3)</t>
  </si>
  <si>
    <t>карта №1435.0060 от 01.12.2015 (КБ3)</t>
  </si>
  <si>
    <t>карта №53 от 20.11.2017 (пол5)</t>
  </si>
  <si>
    <t>карта №56 от 17.10.2014  (Пол3),  карта №21 от 05.12.2016  (КБ4)</t>
  </si>
  <si>
    <t>карта №55 от 17.10.2014  (Пол3), карта №20 от 05.12.2016 (КБ4)</t>
  </si>
  <si>
    <t>уборщик карта №60 от 20.11.2017, уборщик служебных помещений карта №61 от 20.11.2017</t>
  </si>
  <si>
    <t>карта №34 от 16.10.2014  (терапевтический кабинет)</t>
  </si>
  <si>
    <t>карта №3 от 17.10.2014  (заместитель директора по организационно-методичесакой работе)</t>
  </si>
  <si>
    <t>карта №3 от 17.10.2014   (заместитель директора по организационно-методичесакой работе)</t>
  </si>
  <si>
    <t>нет физических лиц, данные должности занимают совмещением должностей</t>
  </si>
  <si>
    <t xml:space="preserve"> карта №4 от 17.10.2014  (Заведующий отделением- врач методист)</t>
  </si>
  <si>
    <t>карта №1433.0009 от 08.12.2015 (врач-статистик отдела высокотехнологичной медицинской помощи)</t>
  </si>
  <si>
    <t xml:space="preserve">карта №26 от 05.12.2016  (медицинский статистик кабинета медицинской статистики поликлиники №4) </t>
  </si>
  <si>
    <t>карта №72 от 03.11.2017  (врач по спортивной медицины Центра спортивной медицины поликлиника №4)</t>
  </si>
  <si>
    <t>карта №71 от 03.11.2017  (руководитель Центра спортивной медицины-врач-травматолог-ортопед поликлиники №4)</t>
  </si>
  <si>
    <t>карта №1434.0048 от 08.12.2015 (психолог дописать точное бывшее название)</t>
  </si>
  <si>
    <t xml:space="preserve">нет </t>
  </si>
  <si>
    <t>нет</t>
  </si>
  <si>
    <t>Врач-спец.,врач-терапевт карта №1433.0007, нет даты</t>
  </si>
  <si>
    <t>карта №1433.0008 от 08.12.2015 (начальник отдела-врач-специалист отдела высокотехнологичной медицинской помощи)</t>
  </si>
  <si>
    <t>карта №17А от 17.10.2014 (экономист планово-экономического отдела)</t>
  </si>
  <si>
    <t>карта №23 от 05.12.2016 (заместитель заведующего поликлиникой по медицинской части поликлиники №4)</t>
  </si>
  <si>
    <t>карта №59 от 20.11.2017 (кастелянша дописать откуда)</t>
  </si>
  <si>
    <t>карта №24 от 05.12.2016 (заместитель заведующего по клинико-экспертной работе поликлиники №4)</t>
  </si>
  <si>
    <t>карта №25 от 05.12.2016 (главная медицинская сестра поликлиники №4)</t>
  </si>
  <si>
    <t>карта №28 от 05.12.2016 (оператор ЭВМ поликлиники №4)</t>
  </si>
  <si>
    <t>карта №29 от 05.12.2016 (заведующий отделением -врач терапевт терапевтического отделения поликлиники №4)</t>
  </si>
  <si>
    <t xml:space="preserve">карта №30 от 05.12.2016 (старшая медицинская сестра терапевтического отделения поликлиники №4) </t>
  </si>
  <si>
    <t>карта №31, карта №32 от 05.12.2016 (врач-терапевт участковый цехового врачебного участка поликлиники №4)</t>
  </si>
  <si>
    <t>карта №33, карта №34 от 05.12.2016 (медицинская сестра участковая поликлиники №4)</t>
  </si>
  <si>
    <t>карта №35 от 05.12.2016 (врач-эндокринолог эндокринологического кабинета поликлиники №4)</t>
  </si>
  <si>
    <t>карта №53 от 05.12.2016 (врач-кардиолог кардиологического кабинета поликлиники №4)</t>
  </si>
  <si>
    <t xml:space="preserve">карта №7 от 16.10.2014 (врач-инфекционист инфекционного кабинета поликлиники №3)  </t>
  </si>
  <si>
    <t>карта №42 от 05.12.2016 (врач-уролог урологического кабинета поликлиники №4)</t>
  </si>
  <si>
    <t>карта №43 от 05.12.2016 (медицинская сестра урологического кабинета поликлиники №4)</t>
  </si>
  <si>
    <t>карта №38 от 05.12.2016 (врач-хирург хирургического кабинета поликлиники №4)</t>
  </si>
  <si>
    <t>карта №40 от 05.12.2016 (медицинская сестра хирургического кабинета поликлиники №4)</t>
  </si>
  <si>
    <t>карта №44 от 05.12.2016 (врач-акушер-гинеколог гинекологического  кабинета поликлиники №4)</t>
  </si>
  <si>
    <t xml:space="preserve">карта №45 от 05.12.2016 (акушерка гинекологического кабинета поликлиники №4)  </t>
  </si>
  <si>
    <t>карта №36 от 05.12.2016 (врач-невролог неврологического кабинета поликлиники №4)</t>
  </si>
  <si>
    <t>карта №37 от 05.12.2016 (медицинская сестра неврологического кабинета поликлиники №4)</t>
  </si>
  <si>
    <t>карта №47 от 05.12.2016 (врач-дерматовенеролог дерматовенеролгического кабинета поликлиники №4)</t>
  </si>
  <si>
    <t>карта №48 от 05.12.2016 (медицинская сестра дерматовенерологического кабинета поликлиники №4)</t>
  </si>
  <si>
    <t>карта №49 от 05.12.2016 (врач-офтальмолог офтальмологического кабинета поликлиники №4)</t>
  </si>
  <si>
    <t>карта №50 от 05.12.2016 (медицинская сестра офтальмологического кабинета поликлиники №4)</t>
  </si>
  <si>
    <t>карта №51 от 05.12.2016 (врач-оториноларинголог оториноларингологического кабинета поликлиники №4)</t>
  </si>
  <si>
    <t>карта №52 от 05.12.2016 (медицинская сестра оториноларингологического кабинета поликлиники №4)</t>
  </si>
  <si>
    <t>Консультативно-диагностическое отделение г.Бор</t>
  </si>
  <si>
    <t>карта №54 от 05.12.2016 (заведующий отделением-врач-профпатолог отделением медицинской профилактики поликлиники №4)</t>
  </si>
  <si>
    <t>карта №56 от 05.12.2016 (врач-психиатр отделения медицинской профилактики поликлиники №4)</t>
  </si>
  <si>
    <t>карта №55 от 05.12.2016 (врач-психиатр-нарколог отделения медицинской профилактики поликлиники №4)</t>
  </si>
  <si>
    <t>карта №60 от 05.12.2016 (врач-хирург отделения медицинской профилактики поликлиники №4)</t>
  </si>
  <si>
    <t>карта №57 от 05.12.2016 (врач-терапевт отделения медицинской профилактики поликлиники №4)</t>
  </si>
  <si>
    <t xml:space="preserve">карта №61 от 05.12.2016 (врач-акушер-гинеколог отделения медицинской профилактики поликлиники №4) </t>
  </si>
  <si>
    <t>карта №58 от 05.12.2016 (врач-оториноларинголог отделения медицинской профилактики поликлиники №4)</t>
  </si>
  <si>
    <t>карта №29 от 16.10.2014 (старшая медицинская сестра отделения медицинской профилактики поликлиники №4)</t>
  </si>
  <si>
    <t>карта №63, карта №54 от 05.12.2016 (медицинская сестра отделения медицинской профилактики поликлиники №4)</t>
  </si>
  <si>
    <t>карта №65 от 05.12.2016 (акушерка отделения медицинской профилактики поликлиники №4)</t>
  </si>
  <si>
    <t>карта №1433.0004 от 08.12.2015 (врач клиничесий фармаколог общебольничного медицинского персонала)</t>
  </si>
  <si>
    <t>карта №31 от 20.11.2017 (врач-терапевт терапевтического кабинета поликлиники №5)</t>
  </si>
  <si>
    <t>Фельдшер (медицинская сестра)</t>
  </si>
  <si>
    <t>карта №6 от 16.10.2014 (медицинская сестра эндокринологического кабинета поликлиники №3)</t>
  </si>
  <si>
    <t>карта №66 от 05.12.2016 (медицинская сестра процедурной процедурного кабинета поликлиники №4)</t>
  </si>
  <si>
    <t>карта №22 от 05.12.2016 (заведующий поликлиникой-врач-хирург поликлиники №4)</t>
  </si>
  <si>
    <t>карта №26 от 05.12.2016 (медицинский статистик поликлиники №4)</t>
  </si>
  <si>
    <t>карта №65 от 05.12.2016 (повар пищеблока Кб№4)</t>
  </si>
  <si>
    <t>карта №1434.0005 от 01.12.2015 (подсобный рабочий АХО КБ№1)</t>
  </si>
  <si>
    <t>карта №1434.0021 от 02.12.2015 (заведующий складом пищеблока КБ№1)</t>
  </si>
  <si>
    <t>карта №1434.0025 от 02.12.2015 (кухонный работник пищеблока КБ№1)</t>
  </si>
  <si>
    <t>карта №1435.0060 от 01.12.2015 (медицинская сестра по массажу физиотерапевтической службы рабочее место на территории КБ3)</t>
  </si>
  <si>
    <t>карта №1 от 20.12.2016 (рабочее место для инвалида)</t>
  </si>
  <si>
    <t xml:space="preserve">карта №2 от 20.12.2016 (рабочее место для инвалида)    </t>
  </si>
  <si>
    <t>карта №34, карта №35 от 26.10.2017 (медицинская сестра палатная урологического отделения КБ№1)</t>
  </si>
  <si>
    <t>Фармацевт( по ИТ технологиям)</t>
  </si>
  <si>
    <t>карта №59 от 20.11.2017</t>
  </si>
  <si>
    <t>карта №60 от 20.11.2017</t>
  </si>
  <si>
    <t>карта №61 от 20.11.2017</t>
  </si>
  <si>
    <t>карта №1434.0062 от 08.12.2015 (медицинский регистратор(медрегистратор справочного бюро) приемного отделения КБ2)</t>
  </si>
  <si>
    <t>карта №1434.0048 от 08.12.2015 (психолог Центра реабилитации и восстановительного лечения</t>
  </si>
  <si>
    <t>карта №1435.0015А, карта №1435.0016А от 01.12.2015 (буфетчица-раздатчица пищеблока КБ2)</t>
  </si>
  <si>
    <t>карта №1434.0048 от 08.12.2015 (психолог Центра реабилитации и восстановительного лечения КБ№2)</t>
  </si>
  <si>
    <t>карта №41 от 03.11.2017 (Медицинская сестра отделения УЗИ рабочее место КБ3)</t>
  </si>
  <si>
    <t>карта №62 от 03.11.2017</t>
  </si>
  <si>
    <t>Слесарь по ремонту автомобилей</t>
  </si>
  <si>
    <t>Администратор зала</t>
  </si>
  <si>
    <t>карта №60 от 20.11.2017 (уборщик общеполиклинического немедицинского персонала поликлиник)</t>
  </si>
  <si>
    <t>карта №1 от 05.04.2018</t>
  </si>
  <si>
    <t>карта №2 от 05.04.2018</t>
  </si>
  <si>
    <t>карта №3 от 05.04.2018</t>
  </si>
  <si>
    <t>карта №4 от 05.04.2018</t>
  </si>
  <si>
    <t>карта №5 от 05.04.2018</t>
  </si>
  <si>
    <t>карта №6 от 05.04.2018</t>
  </si>
  <si>
    <t>карта №7 от 05.04.2018</t>
  </si>
  <si>
    <t>карта №9 от 05.04.2018</t>
  </si>
  <si>
    <t>карта №10 от 05.04.2018</t>
  </si>
  <si>
    <t>карта №11 от 05.04.2018</t>
  </si>
  <si>
    <t>карта №12 от 05.04.2018</t>
  </si>
  <si>
    <t>карта №13 от 05.04.2018, карта №14 от 05.04.2018, карта №15 от 05.04.2018</t>
  </si>
  <si>
    <t>карта №16 от 05.04.2018, карта №17 от 05.04.2018</t>
  </si>
  <si>
    <t>карта №18 от 05.04.2018</t>
  </si>
  <si>
    <t>карта №19 от 05.04.2018</t>
  </si>
  <si>
    <t>карта №20 от 05.04.2018</t>
  </si>
  <si>
    <t>карта №21 от 05.04.2018</t>
  </si>
  <si>
    <t>карта №22 от 05.04.2018</t>
  </si>
  <si>
    <t>карта №23 от 05.04.2018</t>
  </si>
  <si>
    <t>карта №24 от 05.04.2018</t>
  </si>
  <si>
    <t>карта №25 от 05.04.2018</t>
  </si>
  <si>
    <t>карта №26 от 05.04.2018</t>
  </si>
  <si>
    <t>карта №27 от 05.04.2018</t>
  </si>
  <si>
    <t>карта №28 от 05.04.2018</t>
  </si>
  <si>
    <t>карта №29 от 05.04.2018</t>
  </si>
  <si>
    <t>карта №30 от 05.04.2018</t>
  </si>
  <si>
    <t>карта №31 от 05.04.2018</t>
  </si>
  <si>
    <t>карта №32 от 05.04.2018</t>
  </si>
  <si>
    <t>карта №33 от 05.04.2018</t>
  </si>
  <si>
    <t>карта №34 от 05.04.2018</t>
  </si>
  <si>
    <t>карта №35 от 05.04.2018</t>
  </si>
  <si>
    <t>карта №36 от 05.04.2018</t>
  </si>
  <si>
    <t>карта №37 от 05.04.2018</t>
  </si>
  <si>
    <t>карта №38 от 05.04.2018</t>
  </si>
  <si>
    <t>карта №39 от 05.04.2018</t>
  </si>
  <si>
    <t>карта №40 от 05.04.2018</t>
  </si>
  <si>
    <t>карта №41 от 05.04.2018</t>
  </si>
  <si>
    <t>карта №42 от 05.04.2018</t>
  </si>
  <si>
    <t>карта №43 от 05.04.2018</t>
  </si>
  <si>
    <t>карта №44 от 05.04.2018</t>
  </si>
  <si>
    <t>карта №45 от 05.04.2018</t>
  </si>
  <si>
    <t>карта №46 от 05.04.2018</t>
  </si>
  <si>
    <t>карта №47 от 05.04.2018</t>
  </si>
  <si>
    <t>карта №48 от 05.04.2018</t>
  </si>
  <si>
    <t>карта №49 от 05.04.2018</t>
  </si>
  <si>
    <t>карта №50 от 05.04.2018</t>
  </si>
  <si>
    <t>карта №51 от 05.04.2018</t>
  </si>
  <si>
    <t>карта №52 от 05.04.2018</t>
  </si>
  <si>
    <t>карта №53 от 05.04.2018</t>
  </si>
  <si>
    <t>карта №54 от 05.04.2018</t>
  </si>
  <si>
    <t>карта №56 от 05.04.2018</t>
  </si>
  <si>
    <t>карта №57 от 05.04.2018</t>
  </si>
  <si>
    <t>карта №58 от 05.04.2018</t>
  </si>
  <si>
    <t>карта №59 от 05.04.2018</t>
  </si>
  <si>
    <t>карта №60 от 05.04.2018</t>
  </si>
  <si>
    <t>карта №61 от 05.04.2018</t>
  </si>
  <si>
    <t>карта №62 от 05.04.2018</t>
  </si>
  <si>
    <t>карта №63 от 05.04.2018</t>
  </si>
  <si>
    <t>карта №64 от 05.04.2018</t>
  </si>
  <si>
    <t>карта №65 от 05.04.2018</t>
  </si>
  <si>
    <t>карта №66 от 05.04.2018</t>
  </si>
  <si>
    <t>карта №67 от 05.04.2018</t>
  </si>
  <si>
    <t>карта №76 от 05.04.2018</t>
  </si>
  <si>
    <t>карта №78 от 05.04.2018</t>
  </si>
  <si>
    <t>карта №83 от 05.04.2018</t>
  </si>
  <si>
    <t>карта №84 от 05.04.2018</t>
  </si>
  <si>
    <t>карта №91 от 05.04.2018</t>
  </si>
  <si>
    <t>карта №92 от 05.04.2018</t>
  </si>
  <si>
    <t>карта №93 от 05.04.2018</t>
  </si>
  <si>
    <t>карта №94 от 05.04.2018</t>
  </si>
  <si>
    <t>карта №95 от 05.04.2018, карта №96 от 05.04.2018</t>
  </si>
  <si>
    <t>карта №97 от 05.04.2018, карта №98 от 05.04.2018, карта №99 от 05.04.2018, карта №100 от 05.04.2018, карта №101 от 05.04.2018</t>
  </si>
  <si>
    <t>карта №102 от 05.04.2018, карта №103 от 05.04.2018, карта №104 от 05.04.2018, карта №105 от 05.04.2018</t>
  </si>
  <si>
    <t>карта №106 от 05.04.2018, карта №107 от 05.04.2018, карта №108 от 05.04.2018, карта №109 от 05.04.2018</t>
  </si>
  <si>
    <t>карта №110 от 05.04.2018, карта №111 от 05.04.2018, карта №112 от 05.04.2018</t>
  </si>
  <si>
    <t>карта №113 от 05.04.2018</t>
  </si>
  <si>
    <t>карта №114 от 05.04.2018</t>
  </si>
  <si>
    <t>карта №115 от 05.04.2018</t>
  </si>
  <si>
    <t>карта №116 от 05.04.2018, карта №117 от 05.04.2018, карта №118 от 05.04.2018, карта №119 от 05.04.2018, карта №120 от 05.04.2018</t>
  </si>
  <si>
    <t>карта №121 от 05.04.2018</t>
  </si>
  <si>
    <t>карта №122 от 05.04.2018</t>
  </si>
  <si>
    <t>карта №123 от 05.04.2018</t>
  </si>
  <si>
    <t>карта №125 от 05.04.2018, карта №126 от 05.04.2018</t>
  </si>
  <si>
    <t>карта № 1 от 20.04.2018</t>
  </si>
  <si>
    <t>карта № 2 от 20.04.2018</t>
  </si>
  <si>
    <t>карта № 3 от 20.04.2018</t>
  </si>
  <si>
    <t>карта № 4 от 20.04.2018</t>
  </si>
  <si>
    <t>карта № 5 от 20.04.2018</t>
  </si>
  <si>
    <t>карта № 6 от 20.04.2018</t>
  </si>
  <si>
    <t>карта № 7 от 20.04.2018</t>
  </si>
  <si>
    <t>карта № 8 от 20.04.2018</t>
  </si>
  <si>
    <t>карта № 9 от 20.04.2018</t>
  </si>
  <si>
    <t>карта № 11 от 20.04.2018</t>
  </si>
  <si>
    <t xml:space="preserve">карта № 11 от 20.04.2018 (врач-травматолог-ортопед хирургического кабинета поликлиники №3)  </t>
  </si>
  <si>
    <t>карта № 15 от 20.04.2018</t>
  </si>
  <si>
    <t>карта № 16 от 20.04.2018</t>
  </si>
  <si>
    <t>карта № 17 от 20.04.2018</t>
  </si>
  <si>
    <t>карта № 18 от 20.04.2018</t>
  </si>
  <si>
    <t>карта № 19 от 20.04.2018</t>
  </si>
  <si>
    <t>карта № 20 от 20.04.2018</t>
  </si>
  <si>
    <t>карта № 21 от 20.04.2018</t>
  </si>
  <si>
    <t>карта № 23 от 20.04.2018</t>
  </si>
  <si>
    <t>карта № 25 от 20.04.2018</t>
  </si>
  <si>
    <t>карта № 26 от 20.04.2018</t>
  </si>
  <si>
    <t>карта № 27 от 20.04.2018</t>
  </si>
  <si>
    <t>карта № 28 от 20.04.2018</t>
  </si>
  <si>
    <t>карта № 29 от 20.04.2018</t>
  </si>
  <si>
    <t>карта №38 от 20.04.2018</t>
  </si>
  <si>
    <t>карта №39 от 20.04.2018</t>
  </si>
  <si>
    <t>карта №40 от 20.04.2018</t>
  </si>
  <si>
    <t>карта №49 от 20.04.2018</t>
  </si>
  <si>
    <t>карта №50 от 20.04.2018</t>
  </si>
  <si>
    <t>карта №51 от 20.04.2018</t>
  </si>
  <si>
    <t>карта №58 от 20.04.2018</t>
  </si>
  <si>
    <t>карта №69 от 20.04.2018</t>
  </si>
  <si>
    <t>карта №70 от 20.04.2018</t>
  </si>
  <si>
    <t>карта №71 от 20.04.2018</t>
  </si>
  <si>
    <t>карта №80 от 20.04.2018</t>
  </si>
  <si>
    <t>карта №81 от 20.04.2018</t>
  </si>
  <si>
    <t>карта №82 от 20.04.2018</t>
  </si>
  <si>
    <t>карта №87 от 20.04.2018</t>
  </si>
  <si>
    <t>карта №88 от 20.04.2018</t>
  </si>
  <si>
    <t>карта №89 от 20.04.2018</t>
  </si>
  <si>
    <t>карта №95 от 20.04.2018</t>
  </si>
  <si>
    <t>карта №96 от 20.04.2018</t>
  </si>
  <si>
    <t>карта №98 от 20.04.2018</t>
  </si>
  <si>
    <t>карта №99 от 20.04.2018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</si>
  <si>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</si>
  <si>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карта №100 от 20.04.2018</t>
  </si>
  <si>
    <t>карта №101 от 20.04.2018</t>
  </si>
  <si>
    <t>карта №104 от 20.04.2018</t>
  </si>
  <si>
    <t>карта №105 от 20.04.2018</t>
  </si>
  <si>
    <t>карта №106 от 20.04.2018</t>
  </si>
  <si>
    <t>карта №107 от 20.04.2018</t>
  </si>
  <si>
    <t>карта №108 от 20.04.2018</t>
  </si>
  <si>
    <t>карта №109 от 20.04.2018</t>
  </si>
  <si>
    <t>карта №110 от 20.04.2018</t>
  </si>
  <si>
    <t>карта №111 от 20.04.2018</t>
  </si>
  <si>
    <t>карта №113 от 20.04.2018</t>
  </si>
  <si>
    <t>карта №114 от 20.04.2018</t>
  </si>
  <si>
    <t>карта №115 от 20.04.2018</t>
  </si>
  <si>
    <t>карта №120 от 20.04.2018</t>
  </si>
  <si>
    <t>карта №121 от 20.04.2018</t>
  </si>
  <si>
    <t>карта №122 от 20.04.2018</t>
  </si>
  <si>
    <t>карта №123 от 20.04.2018</t>
  </si>
  <si>
    <t>карта №124 от 20.04.2018</t>
  </si>
  <si>
    <t>карта №125 от 20.04.2018</t>
  </si>
  <si>
    <t>карта №126 от 20.04.2018</t>
  </si>
  <si>
    <t>карта №127 от 20.04.2018</t>
  </si>
  <si>
    <t>карта №128 от 20.04.2018</t>
  </si>
  <si>
    <t>карта №129 от 20.04.2018</t>
  </si>
  <si>
    <t>карта №130 от 20.04.2018</t>
  </si>
  <si>
    <t>карта №131 от 20.04.2018</t>
  </si>
  <si>
    <t>карта №132 от 20.04.2018</t>
  </si>
  <si>
    <t>карта №133 от 20.04.2018</t>
  </si>
  <si>
    <t>карта №134 от 20.04.2018</t>
  </si>
  <si>
    <t>карта №135 от 20.04.2018</t>
  </si>
  <si>
    <t>карта №139 от 20.04.2018</t>
  </si>
  <si>
    <t>карта №140 от 20.04.2018</t>
  </si>
  <si>
    <t>карта №141 от 20.04.2018</t>
  </si>
  <si>
    <t>карта №142 от 20.04.2018</t>
  </si>
  <si>
    <t>карта №143 от 20.04.2018</t>
  </si>
  <si>
    <t>карта №144 от 20.04.2018</t>
  </si>
  <si>
    <t>карта №152 от 20.04.2018</t>
  </si>
  <si>
    <t>карта №153 от 20.04.2018</t>
  </si>
  <si>
    <t>карта №145 от 20.04.2018 (КБ3)</t>
  </si>
  <si>
    <t>карта №146 от 20.04.2018 (КБ3)</t>
  </si>
  <si>
    <t>карта №147 от 20.04.2018 (КБ3)</t>
  </si>
  <si>
    <t>карта №151 от 20.04.2018 (КБ3)</t>
  </si>
  <si>
    <t xml:space="preserve">карта №68 от 28.04.2018 </t>
  </si>
  <si>
    <t>карта № 10 от 20.04.2018 (врач-диетолог эндокринологического кабинета терапевтического отделения поликлиники № 3)</t>
  </si>
  <si>
    <t>карта № 8 от 05.04.2018</t>
  </si>
  <si>
    <t xml:space="preserve">Врач-терапевт участковый </t>
  </si>
  <si>
    <t>Первичный онкологический кабинет</t>
  </si>
  <si>
    <t>Врач-косметолог</t>
  </si>
  <si>
    <t>карта  № 12 от 20.04.2018</t>
  </si>
  <si>
    <t>карта № 41 от 28.04.2018</t>
  </si>
  <si>
    <t>карта № 42 от 28.04.2018</t>
  </si>
  <si>
    <t>карта № 43 от 28.04.2018</t>
  </si>
  <si>
    <t>карта № 44 от 28.04.2018</t>
  </si>
  <si>
    <t>карта № 51 от 28.04.2018</t>
  </si>
  <si>
    <t>карта № 52 от 28.04.2018</t>
  </si>
  <si>
    <t>карта № 57 от 28.04.2018</t>
  </si>
  <si>
    <t>карта № 58 от 28.04.2018</t>
  </si>
  <si>
    <t>карта № 59 от 28.04.2018</t>
  </si>
  <si>
    <t>карта № 61 от 28.04.2018</t>
  </si>
  <si>
    <t>карта № 62 от 28.04.2018</t>
  </si>
  <si>
    <t>карта № 64 от 28.04.2018</t>
  </si>
  <si>
    <t>карта №87 от 28.04.2018</t>
  </si>
  <si>
    <t>карта № 90 от 28.04.2018</t>
  </si>
  <si>
    <t>карта № 1 от 15.05.2018</t>
  </si>
  <si>
    <t>карта № 2 от 15.05.2018</t>
  </si>
  <si>
    <t>карта № 3 от 15.05.2018</t>
  </si>
  <si>
    <t>карта № 4 от 15.05.2018</t>
  </si>
  <si>
    <t>карта № 5 от 15.05.2018</t>
  </si>
  <si>
    <t>карта № 6 от 15.05.2018</t>
  </si>
  <si>
    <t>карта № 7 от 15.05.2018</t>
  </si>
  <si>
    <t>Косметологический кабинет</t>
  </si>
  <si>
    <t>карта № 75 от 15.05.2018</t>
  </si>
  <si>
    <t xml:space="preserve">Заместитель заведующего поликлиникой по административно-хозяйственной части </t>
  </si>
  <si>
    <t>Поликлиника № 5</t>
  </si>
  <si>
    <t xml:space="preserve"> карта №41 от 20.04.2018</t>
  </si>
  <si>
    <t>карта №42 от 20.04.2018</t>
  </si>
  <si>
    <t xml:space="preserve"> карта №43 от 20.04.2018</t>
  </si>
  <si>
    <t xml:space="preserve"> карта №44 от 20.04.2018</t>
  </si>
  <si>
    <t xml:space="preserve"> карта №45 от 20.04.2018</t>
  </si>
  <si>
    <t>карта №46 от 20.04.2018</t>
  </si>
  <si>
    <t xml:space="preserve"> карта №47 от 20.04.2018</t>
  </si>
  <si>
    <t xml:space="preserve"> карта №48 от 20.04.2018</t>
  </si>
  <si>
    <t xml:space="preserve"> карта №52 от 20.04.2018</t>
  </si>
  <si>
    <t xml:space="preserve"> карта №53 от 20.04.2018</t>
  </si>
  <si>
    <t>карта №54 от 20.04.2018</t>
  </si>
  <si>
    <t xml:space="preserve"> карта №55 от 20.04.2018</t>
  </si>
  <si>
    <t xml:space="preserve"> карта №56 от 20.04.2018</t>
  </si>
  <si>
    <t>карта №59 от 20.04.2018</t>
  </si>
  <si>
    <t xml:space="preserve"> карта №57 от 20.04.2018</t>
  </si>
  <si>
    <t xml:space="preserve"> карта №60 от 20.04.2018</t>
  </si>
  <si>
    <t xml:space="preserve"> карта №61 от 20.04.2018</t>
  </si>
  <si>
    <t xml:space="preserve"> карта №62 от 20.04.2018</t>
  </si>
  <si>
    <t xml:space="preserve"> карта №63 от 20.04.2018</t>
  </si>
  <si>
    <t xml:space="preserve"> карта №64 от 20.04.2018</t>
  </si>
  <si>
    <t xml:space="preserve"> карта №65 от 20.04.2018</t>
  </si>
  <si>
    <t xml:space="preserve"> карта №66 от 20.04.2018</t>
  </si>
  <si>
    <t xml:space="preserve"> карта №67 от 20.04.2018</t>
  </si>
  <si>
    <t xml:space="preserve"> карта №68 от 20.04.2018</t>
  </si>
  <si>
    <t xml:space="preserve"> карта №72 от 20.04.2018</t>
  </si>
  <si>
    <t xml:space="preserve"> карта №73 от 20.04.2018</t>
  </si>
  <si>
    <t xml:space="preserve"> карта №74 от 20.04.2018</t>
  </si>
  <si>
    <t xml:space="preserve"> карта №75 от 20.04.2018</t>
  </si>
  <si>
    <t xml:space="preserve"> карта №77 от 20.04.2018</t>
  </si>
  <si>
    <t xml:space="preserve"> карта №76 от 20.04.2018</t>
  </si>
  <si>
    <t xml:space="preserve"> карта №78 от 20.04.2018</t>
  </si>
  <si>
    <t xml:space="preserve"> карта №79 от 20.04.2018</t>
  </si>
  <si>
    <t xml:space="preserve"> карта №83 от 20.04.2018</t>
  </si>
  <si>
    <t xml:space="preserve"> карта №84 от 20.04.2018</t>
  </si>
  <si>
    <t xml:space="preserve"> карта №85 от 20.04.2018</t>
  </si>
  <si>
    <t xml:space="preserve"> карта №86 от 20.04.2018</t>
  </si>
  <si>
    <t xml:space="preserve"> карта №90 от 20.04.2018</t>
  </si>
  <si>
    <t xml:space="preserve"> карта №91 от 20.04.2018</t>
  </si>
  <si>
    <t xml:space="preserve"> карта №92 от 20.04.2018</t>
  </si>
  <si>
    <t xml:space="preserve"> карта №93 от 20.04.2018</t>
  </si>
  <si>
    <t xml:space="preserve"> карта №94 от 20.04.2018</t>
  </si>
  <si>
    <t>карта №1 от 24.07.2018</t>
  </si>
  <si>
    <t>карта №2 от 24.07.2018</t>
  </si>
  <si>
    <t>карта №3 от 24.07.2018</t>
  </si>
  <si>
    <t>карта №4 от 24.07.2018</t>
  </si>
  <si>
    <t>карта №5 от 24.07.2018</t>
  </si>
  <si>
    <t>карта №6 от 24.07.2018</t>
  </si>
  <si>
    <t>Инструктор по трудовой терапии</t>
  </si>
  <si>
    <t>карта №7 от 24.07.2018</t>
  </si>
  <si>
    <t>карта №8 от 24.07.2018</t>
  </si>
  <si>
    <t>карта №9 от 24.07.2018</t>
  </si>
  <si>
    <t>карта №10 от 24.07.2018</t>
  </si>
  <si>
    <t>карта №11 от 24.07.2018</t>
  </si>
  <si>
    <t>карта №12 от 24.07.2018</t>
  </si>
  <si>
    <t>карта №13 от 24.07.2018</t>
  </si>
  <si>
    <t>карта №14 от 24.07.2018</t>
  </si>
  <si>
    <t>карта №15 от 24.07.2019</t>
  </si>
  <si>
    <t>карта №16 от 24.07.2018</t>
  </si>
  <si>
    <t>карта №8 от 28.04.2018</t>
  </si>
  <si>
    <t>карта №9 от 28.04.2018</t>
  </si>
  <si>
    <t>карта №2 от 28.04.2018</t>
  </si>
  <si>
    <t>карта №3 от 28.04.2018</t>
  </si>
  <si>
    <t>карта № 10 от 28.04.2018</t>
  </si>
  <si>
    <t>карта №11 от 28.04.2018</t>
  </si>
  <si>
    <t>карта №12 от 28.04.2018</t>
  </si>
  <si>
    <t>карта №13 от 28.04.2018</t>
  </si>
  <si>
    <t>карта №14 от 28.04.2018</t>
  </si>
  <si>
    <t>карта №23 от 28.04.2018</t>
  </si>
  <si>
    <t>карта №24 от 28.04.2018</t>
  </si>
  <si>
    <t>карта №69 от 28.04.2018</t>
  </si>
  <si>
    <t>карта №70;  карта №71 от 28.04.2018</t>
  </si>
  <si>
    <t>карта №72 от 28.04.2018</t>
  </si>
  <si>
    <t>карта №73 от 28.04.2018</t>
  </si>
  <si>
    <t>Врач-пластический-хирург</t>
  </si>
  <si>
    <t>Отделение пластической хирургии</t>
  </si>
  <si>
    <t>Приемно-консультативное отделение</t>
  </si>
  <si>
    <t>Специальное приемное отделение</t>
  </si>
  <si>
    <t>Администратор листа ожидания</t>
  </si>
  <si>
    <t>Заведующий отделением-врач приемного отделения-врач-специалист</t>
  </si>
  <si>
    <t>Дозиметрист</t>
  </si>
  <si>
    <t>Администратор по управлению коечным фондом</t>
  </si>
  <si>
    <t>Администратор клиентской зоны</t>
  </si>
  <si>
    <t>карта №26 от 28.04.2018</t>
  </si>
  <si>
    <t>карта №27 от 28.04.2018</t>
  </si>
  <si>
    <t>карта №28 от 28.04.2018</t>
  </si>
  <si>
    <t>карта №31 от 28.04.2018</t>
  </si>
  <si>
    <t>карта №35 от 28.04.2018</t>
  </si>
  <si>
    <t>карта №36 от 28.04.2018</t>
  </si>
  <si>
    <t>карта №37 от 28.04.2018</t>
  </si>
  <si>
    <t>карта №38 от 28.04.2018</t>
  </si>
  <si>
    <t>карта №65 от 28.04.2018 (КБ1, КБ3)</t>
  </si>
  <si>
    <t>карта №66 от 28.04.2018 (КБ1, КБ3)</t>
  </si>
  <si>
    <t>карта №67 от 28.04.2018 (КБ1, КБ3)</t>
  </si>
  <si>
    <t>карта №150 от 20.04.2018 (КБ3)</t>
  </si>
  <si>
    <t>карта №17 от 05.12.2016    (КБ4), карта №17 от 24.07.2018 (КБ3)</t>
  </si>
  <si>
    <t>карта №18 от 05.12.2016    (КБ4), карта №18 от 24.07.2018 (КБ3)</t>
  </si>
  <si>
    <t>карта №70 от 28.04.2018</t>
  </si>
  <si>
    <t>карта №75 от 28.04.2018</t>
  </si>
  <si>
    <t>карта №76 от 28.04.2018</t>
  </si>
  <si>
    <t>карта №77 от 28.04.2018</t>
  </si>
  <si>
    <t>карта №78 от 28.04.2018</t>
  </si>
  <si>
    <t>карта №79 от 28.04.2018</t>
  </si>
  <si>
    <t>карта №7 от 03.11.2017 (КБ2), карта №64 от 26.10.2017 (КБ1)</t>
  </si>
  <si>
    <t>карта №8 от 03.11.2017 (КБ2), карта №65 от 26.10.2017 (КБ1)</t>
  </si>
  <si>
    <t>карта №8 от 05.12.2016 (КБ4), карта №27 от 20.11.2017 (Все КБ, пол.1, пол.5)</t>
  </si>
  <si>
    <t>Инструктор-методист по лечебной физкультуре</t>
  </si>
  <si>
    <t>Отдел заявок и обеспечения</t>
  </si>
  <si>
    <t>Заведующий отделом-провизор</t>
  </si>
  <si>
    <t>карта №80 от 28.04.2018</t>
  </si>
  <si>
    <t>карта №81 от 28.04.2018</t>
  </si>
  <si>
    <t>карта №82 от 28.04.2018</t>
  </si>
  <si>
    <t>карта №83, №84 от 28.04.2018</t>
  </si>
  <si>
    <t>карта №85 от 28.04.2018</t>
  </si>
  <si>
    <t>карта №86 от 28.04.2018</t>
  </si>
  <si>
    <t>Советник директора</t>
  </si>
  <si>
    <t>карта №1 от 15.05.2018</t>
  </si>
  <si>
    <t>карта №2 от 15.05.2018</t>
  </si>
  <si>
    <t>карта №3 от 15.05.2018</t>
  </si>
  <si>
    <t>карта №4 от 15.05.2018</t>
  </si>
  <si>
    <t>карта №5 от 15.05.2018</t>
  </si>
  <si>
    <t>карта №6 от 15.05.2018</t>
  </si>
  <si>
    <t>карта №7 от 15.05.2018</t>
  </si>
  <si>
    <t xml:space="preserve">    карта №8 от 15.05.2018</t>
  </si>
  <si>
    <t>карта №9 от 15.05.2018</t>
  </si>
  <si>
    <t>карта №10 от 15.05.2018</t>
  </si>
  <si>
    <t xml:space="preserve">Ведущий специалист </t>
  </si>
  <si>
    <t>карта №11 от 15.05.2018</t>
  </si>
  <si>
    <t>карта №12 от 15.05.2018</t>
  </si>
  <si>
    <t>карта №13 от 15.05.2018</t>
  </si>
  <si>
    <t>карта №14 от 15.05.2018</t>
  </si>
  <si>
    <t>карта №15 от 15.05.2018</t>
  </si>
  <si>
    <t>карта №16 от 15.05.2018</t>
  </si>
  <si>
    <t>карта №17 от 15.05.2018</t>
  </si>
  <si>
    <t>карта №18 от 15.05.2018</t>
  </si>
  <si>
    <t>карта №19 от 15.05.2018</t>
  </si>
  <si>
    <t>карта №20 от 15.05.2018</t>
  </si>
  <si>
    <t>карта №21 от 15.05.2018</t>
  </si>
  <si>
    <t>Специалист по защите информации в автоматизированных системах</t>
  </si>
  <si>
    <t>карта №22 от 15.05.2018</t>
  </si>
  <si>
    <t>карта №23 от 15.05.2018</t>
  </si>
  <si>
    <t>карта №24 от 15.05.2018</t>
  </si>
  <si>
    <t>карта №25 от 15.05.2018</t>
  </si>
  <si>
    <t>карта №26 от 15.05.2018</t>
  </si>
  <si>
    <t>карта №27 от 15.05.2018</t>
  </si>
  <si>
    <t>карта №28 от 15.05.2018</t>
  </si>
  <si>
    <t>карта №29 от 15.05.2018</t>
  </si>
  <si>
    <t>карта №30 от 15.05.2018</t>
  </si>
  <si>
    <t>карта №31 от 15.05.2018</t>
  </si>
  <si>
    <t>карта №32 от 15.05.2018</t>
  </si>
  <si>
    <t>карта №33 от 15.05.2018</t>
  </si>
  <si>
    <t>карта №34 от 15.05.2018</t>
  </si>
  <si>
    <t>карта №35 от 15.05.2018</t>
  </si>
  <si>
    <t>карта №36 от 15.05.2018</t>
  </si>
  <si>
    <t>карта №37 от 15.05.2018</t>
  </si>
  <si>
    <t>карта №38 от 15.05.2018</t>
  </si>
  <si>
    <t>Инженер-сметчик</t>
  </si>
  <si>
    <t>карта №39 от 15.05.2018</t>
  </si>
  <si>
    <t>карта №41 от 15.05.2018</t>
  </si>
  <si>
    <t>карта №42 от 15.05.2018</t>
  </si>
  <si>
    <t>карта №43 от 15.05.2018</t>
  </si>
  <si>
    <t>карта №44 от 15.05.2018</t>
  </si>
  <si>
    <t>карта №45 от 15.05.2018</t>
  </si>
  <si>
    <t>карта №46 от 15.05.2018</t>
  </si>
  <si>
    <t>карта №47 от 15.05.2018</t>
  </si>
  <si>
    <t>карта №48 от 15.05.2018</t>
  </si>
  <si>
    <t>Заместитель начальника отдела материально-технического снабжения</t>
  </si>
  <si>
    <t>карта №49 от 15.05.2018</t>
  </si>
  <si>
    <t>карта №50 от 15.05.2018</t>
  </si>
  <si>
    <t>карта №51 от 15.05.2018</t>
  </si>
  <si>
    <t>карта №52 от 15.05.2018</t>
  </si>
  <si>
    <t>карта №53 от 15.05.2018</t>
  </si>
  <si>
    <t>карта №54 от 15.05.2018</t>
  </si>
  <si>
    <t>карта №55 от 15.05.2018</t>
  </si>
  <si>
    <t>карта №56 от 15.05.2018</t>
  </si>
  <si>
    <t>карта №57 от 15.05.2018</t>
  </si>
  <si>
    <t>карта №58 от 15.05.2018</t>
  </si>
  <si>
    <t>карта №59 от 15.05.2018</t>
  </si>
  <si>
    <t>карта №60 от 15.05.2018</t>
  </si>
  <si>
    <t>карта №61 от 15.05.2018</t>
  </si>
  <si>
    <t>карта №62 от 15.05.2018</t>
  </si>
  <si>
    <t>карта №63 от 15.05.2018</t>
  </si>
  <si>
    <t>карта №64 от 15.05.2018</t>
  </si>
  <si>
    <t>карта №65 от 15.05.2018</t>
  </si>
  <si>
    <t>карта №66, карта №67, карта №68 от 15.05.2018</t>
  </si>
  <si>
    <t>Отдел экспертизы и качества медицинской помощи</t>
  </si>
  <si>
    <t xml:space="preserve">Оператор ЭВМ </t>
  </si>
  <si>
    <t>карта №13, 14, 15 от 05.04.2018 (врач-терпевт участковый цехового врачебного участка терап. отд. поликлиники № 1)</t>
  </si>
  <si>
    <t>карта №18 от 20.04.2018 (медицинская сестра дерматовенер. каб. терап. отд. пол. № 3)</t>
  </si>
  <si>
    <t>карта №12 от 20.04.2018 (врач-колопроктолог хирургического каб. терап. отд. поликлиники №3)</t>
  </si>
  <si>
    <t xml:space="preserve">Врач-колопроктолог </t>
  </si>
  <si>
    <r>
      <t>Врач-психиатр</t>
    </r>
    <r>
      <rPr>
        <sz val="10"/>
        <color rgb="FFFF0000"/>
        <rFont val="Times New Roman"/>
        <family val="1"/>
        <charset val="204"/>
      </rPr>
      <t xml:space="preserve"> </t>
    </r>
  </si>
  <si>
    <t>карта №87 от 26.10.2017 (врач мануальной терапии из ЛФК КБ2)</t>
  </si>
  <si>
    <t>карта №106 от 26.10.2017 (сестра-хозяйка отделения анест. и реаним. КБ2 )</t>
  </si>
  <si>
    <t>Заведующий отделением-врач-пластический-хирург</t>
  </si>
  <si>
    <t>карта №22 от 28.04.2018 (администратор приемно-консульт. отделения КБ3)</t>
  </si>
  <si>
    <t>карта №135 от 20.04.2018 (аналитик общебольн. немедицинский персонал КБ2)</t>
  </si>
  <si>
    <t xml:space="preserve">карта № 1 от 01.04.2019    </t>
  </si>
  <si>
    <t xml:space="preserve">карта № 2 от 01.04.2019    </t>
  </si>
  <si>
    <t xml:space="preserve">карта № 3 от 01.04.2019    </t>
  </si>
  <si>
    <t xml:space="preserve">карта № 4 от 01.04.2019    </t>
  </si>
  <si>
    <t xml:space="preserve">карта № 5 от 01.04.2019    </t>
  </si>
  <si>
    <t xml:space="preserve">карта № 6 от 01.04.2019    </t>
  </si>
  <si>
    <t xml:space="preserve">карта № 9 от 01.04.2019    </t>
  </si>
  <si>
    <t xml:space="preserve">карта № 10 от 01.04.2019    </t>
  </si>
  <si>
    <t xml:space="preserve">карта № 11 от 01.04.2019    </t>
  </si>
  <si>
    <t xml:space="preserve">карта № 12 от 01.04.2019    </t>
  </si>
  <si>
    <t xml:space="preserve">карта № 13,14 от 01.04.2019    </t>
  </si>
  <si>
    <t xml:space="preserve">карта № 15,16 от 01.04.2019    </t>
  </si>
  <si>
    <t xml:space="preserve">карта № 17 от 01.04.2019    </t>
  </si>
  <si>
    <t xml:space="preserve">карта № 18,19 от 01.04.2019    </t>
  </si>
  <si>
    <t xml:space="preserve">карта № 21,22 от 01.04.2019    </t>
  </si>
  <si>
    <t xml:space="preserve">карта № 20 от 01.04.2019    </t>
  </si>
  <si>
    <t xml:space="preserve">карта №23 от 01.04.2019    </t>
  </si>
  <si>
    <t xml:space="preserve">карта № 24 от 01.04.2019    </t>
  </si>
  <si>
    <t xml:space="preserve">карта № 25 от 01.04.2019    </t>
  </si>
  <si>
    <t xml:space="preserve">карта № 26 от 01.04.2019    </t>
  </si>
  <si>
    <t xml:space="preserve">карта № 27 от 01.04.2019    </t>
  </si>
  <si>
    <t xml:space="preserve">карта № 28 от 01.04.2019    </t>
  </si>
  <si>
    <t xml:space="preserve">карта № 29 от 01.04.2019    </t>
  </si>
  <si>
    <t xml:space="preserve">карта № 30 от 01.04.2019    </t>
  </si>
  <si>
    <t xml:space="preserve">карта № 31 от 01.04.2019    </t>
  </si>
  <si>
    <t xml:space="preserve">карта № 32 от 01.04.2019    </t>
  </si>
  <si>
    <t xml:space="preserve">карта № 33 от 01.04.2019    </t>
  </si>
  <si>
    <t xml:space="preserve">карта № 34 от 01.04.2019    </t>
  </si>
  <si>
    <t xml:space="preserve">карта № 7, 8, 35 от 01.04.2019    </t>
  </si>
  <si>
    <t xml:space="preserve">карта № 36 от 01.04.2019    </t>
  </si>
  <si>
    <t xml:space="preserve">карта № 37 от 01.04.2019    </t>
  </si>
  <si>
    <t xml:space="preserve">карта № 38 от 01.04.2019    </t>
  </si>
  <si>
    <t xml:space="preserve">карта № 39 от 01.04.2019    </t>
  </si>
  <si>
    <t xml:space="preserve">карта № 41 от 01.04.2019    </t>
  </si>
  <si>
    <t xml:space="preserve">карта № 42 от 01.04.2019    </t>
  </si>
  <si>
    <t xml:space="preserve">карта № 43 от 01.04.2019    </t>
  </si>
  <si>
    <t xml:space="preserve">карта № 44 от 01.04.2019    </t>
  </si>
  <si>
    <t xml:space="preserve">карта № 45 от 01.04.2019    </t>
  </si>
  <si>
    <t xml:space="preserve">карта № 46,47 от 01.04.2019    </t>
  </si>
  <si>
    <t xml:space="preserve">карта № 48 от 01.04.2019    </t>
  </si>
  <si>
    <t xml:space="preserve">карта № 40,49 от 01.04.2019    </t>
  </si>
  <si>
    <t xml:space="preserve">карта № 50,51 от 01.04.2019    </t>
  </si>
  <si>
    <t xml:space="preserve">карта № 52 от 01.04.2019    </t>
  </si>
  <si>
    <t xml:space="preserve">карта № 53 от 01.04.2019    </t>
  </si>
  <si>
    <t xml:space="preserve">карта № 54 от 01.04.2019    </t>
  </si>
  <si>
    <t xml:space="preserve">карта № 55 от 01.04.2019    </t>
  </si>
  <si>
    <t xml:space="preserve">карта № 56 от 01.04.2019    </t>
  </si>
  <si>
    <t xml:space="preserve">карта № 57 от 01.04.2019    </t>
  </si>
  <si>
    <t xml:space="preserve">карта № 58 от 01.04.2019    </t>
  </si>
  <si>
    <t xml:space="preserve">карта № 59 от 01.04.2019    </t>
  </si>
  <si>
    <t xml:space="preserve">Медицинская сестра </t>
  </si>
  <si>
    <t xml:space="preserve">карта № 60 от 01.04.2019    </t>
  </si>
  <si>
    <t>Мухтаров велел делать 3.2</t>
  </si>
  <si>
    <t>карта №27 от 19.04.2019г    (КБ1, КБ3, КБ4)</t>
  </si>
  <si>
    <t xml:space="preserve">карта №1 от 26.04.2019   </t>
  </si>
  <si>
    <t>карта № 2 от 26.04.2019</t>
  </si>
  <si>
    <t xml:space="preserve">карта №3 от 26.04.2019   </t>
  </si>
  <si>
    <t xml:space="preserve">карта №4 от 26.04.2019  </t>
  </si>
  <si>
    <t>карта № 5 от 26.04.2019</t>
  </si>
  <si>
    <t>карта №6 от 26.04.2019</t>
  </si>
  <si>
    <t>карта №7 от 26.04.2019</t>
  </si>
  <si>
    <t>карта №8 от 26.04.2019</t>
  </si>
  <si>
    <t>карта № 9 от 26.04.2019</t>
  </si>
  <si>
    <t>карта № 10 от 26.04.2019</t>
  </si>
  <si>
    <t>карта № 11 от 26.04.2019</t>
  </si>
  <si>
    <t>карта № 12 от 26.04.2019</t>
  </si>
  <si>
    <t>карта № 13 от 26.04.2019</t>
  </si>
  <si>
    <t>карта № 14 от 26.04.2019</t>
  </si>
  <si>
    <t>карта № 16 от 26.04.2019</t>
  </si>
  <si>
    <t>карта № 17 от 26.04.2019</t>
  </si>
  <si>
    <t>карта № 18 от 26.04.2019</t>
  </si>
  <si>
    <t>карта № 19 от 26.04.2019</t>
  </si>
  <si>
    <t>карта № 20 от 26.04.2019</t>
  </si>
  <si>
    <t>карта № 24 от 26.04.2019</t>
  </si>
  <si>
    <t>карта № 25 от 26.04.2019</t>
  </si>
  <si>
    <t>карта № 26 от 26.04.2019</t>
  </si>
  <si>
    <t>карта № 27 от 26.04.2019</t>
  </si>
  <si>
    <t>карта № 28 от 26.04.2019</t>
  </si>
  <si>
    <t>карта № 29 от 26.04.2019</t>
  </si>
  <si>
    <t>карта № 30 от 26.04.2019</t>
  </si>
  <si>
    <t>карта № 31 от 26.04.2019</t>
  </si>
  <si>
    <t>карта № 32 от 26.04.2019</t>
  </si>
  <si>
    <t>карта № 33, 34, 35, 36 от 26.04.2019</t>
  </si>
  <si>
    <t>карта № 37 от 26.04.2019</t>
  </si>
  <si>
    <t>карта № 38 от 26.04.2019</t>
  </si>
  <si>
    <t>карта № 39 от 26.04.2019</t>
  </si>
  <si>
    <t>карта № 40, 41 от 26.04.2019</t>
  </si>
  <si>
    <t>карта № 42 от 26.04.2019</t>
  </si>
  <si>
    <t>карта № 43 от 26.04.2019</t>
  </si>
  <si>
    <t>карта № 44 от 26.04.2019</t>
  </si>
  <si>
    <t>карта № 45 от 26.04.2019</t>
  </si>
  <si>
    <t>карта № 46, 47от 26.04.2019</t>
  </si>
  <si>
    <t>карта № 52, 53, 54, 55, 56, 57, 58  от 26.04.2019</t>
  </si>
  <si>
    <t>карта № 59 от 26.04.2019</t>
  </si>
  <si>
    <t>карта № 60 от 26.04.2019</t>
  </si>
  <si>
    <t>карта № 62 от 26.04.2019</t>
  </si>
  <si>
    <t>карта № 63,64,65,66,67,68,69,70,71,72  от 26.04.2019</t>
  </si>
  <si>
    <t>карта № 73 от 26.04.2019</t>
  </si>
  <si>
    <t>карта № 74 от 26.04.2019</t>
  </si>
  <si>
    <t>карта № 75 от 26.04.2019</t>
  </si>
  <si>
    <t>карта № 76 от 26.04.2019</t>
  </si>
  <si>
    <t>карта № 77 от 26.04.2019</t>
  </si>
  <si>
    <t>карта № 78 от 26.04.2019</t>
  </si>
  <si>
    <t>карта № 79 от 26.04.2019</t>
  </si>
  <si>
    <t>карта № 80,81,82,83,84  от 26.04.2019</t>
  </si>
  <si>
    <t>карта № 85,86,87 от 26.04.2019</t>
  </si>
  <si>
    <t>карта № 88 от 26.04.2019</t>
  </si>
  <si>
    <t>карта № 89 от 26.04.2019</t>
  </si>
  <si>
    <t>карта № 91 от 26.04.2019</t>
  </si>
  <si>
    <t>карта № 92 от 26.04.2019</t>
  </si>
  <si>
    <t>карта № 93 от 26.04.2019</t>
  </si>
  <si>
    <t>карта № 94,95,96,97,98  от 26.04.2019</t>
  </si>
  <si>
    <t>карта № 99,100  от 26.04.2019</t>
  </si>
  <si>
    <t>карта № 101,102,103,104,105  от 26.04.2019</t>
  </si>
  <si>
    <t>карта № 106  от 26.04.2019</t>
  </si>
  <si>
    <t xml:space="preserve">карта №1 от 26.04.2019    </t>
  </si>
  <si>
    <t xml:space="preserve">карта №2 от 26.04.2019    </t>
  </si>
  <si>
    <t xml:space="preserve">карта №3,4,5,6  от 26.04.2019    </t>
  </si>
  <si>
    <t xml:space="preserve">карта №8 от 26.04.2019    </t>
  </si>
  <si>
    <t xml:space="preserve">карта №10,11,12, 13 от 26.04.2019    </t>
  </si>
  <si>
    <t xml:space="preserve">карта №16,17,18 от 26.04.2019    </t>
  </si>
  <si>
    <t xml:space="preserve">карта №19 от 26.04.2019    </t>
  </si>
  <si>
    <t xml:space="preserve">карта №20 от 26.04.2019    </t>
  </si>
  <si>
    <t xml:space="preserve">карта №21 от 26.04.2019    </t>
  </si>
  <si>
    <t xml:space="preserve">карта №23,23,24  от 26.04.2019    </t>
  </si>
  <si>
    <t xml:space="preserve">карта №25 от 26.04.2019    </t>
  </si>
  <si>
    <t xml:space="preserve">карта №26 от 26.04.2019    </t>
  </si>
  <si>
    <t xml:space="preserve">карта №27 от 26.04.2019    </t>
  </si>
  <si>
    <t xml:space="preserve">карта №28 от 26.04.2019    </t>
  </si>
  <si>
    <t xml:space="preserve">карта №29 от 26.04.2019    </t>
  </si>
  <si>
    <t xml:space="preserve">карта №30 от 26.04.2019    </t>
  </si>
  <si>
    <t xml:space="preserve">карта №31 от 26.04.2019    </t>
  </si>
  <si>
    <t xml:space="preserve">карта №32,33  от 26.04.2019    </t>
  </si>
  <si>
    <t xml:space="preserve">карта №34,35  от 26.04.2019    </t>
  </si>
  <si>
    <t xml:space="preserve">карта №36 от 26.04.2019    </t>
  </si>
  <si>
    <t xml:space="preserve">карта №37 от 26.04.2019    </t>
  </si>
  <si>
    <t xml:space="preserve">карта №38 от 26.04.2019    </t>
  </si>
  <si>
    <t xml:space="preserve">карта №39 от 26.04.2019    </t>
  </si>
  <si>
    <t xml:space="preserve">карта №40 от 26.04.2019    </t>
  </si>
  <si>
    <t xml:space="preserve">карта №41 от 26.04.2019    </t>
  </si>
  <si>
    <t xml:space="preserve">карта №42 от 26.04.2019    </t>
  </si>
  <si>
    <t xml:space="preserve">карта №43, 44, 45, 46, 47 от 26.04.2019    </t>
  </si>
  <si>
    <t xml:space="preserve">карта №48 от 26.04.2019    </t>
  </si>
  <si>
    <t xml:space="preserve">карта №49 от 26.04.2019    </t>
  </si>
  <si>
    <t xml:space="preserve">карта №50 от 26.04.2019    </t>
  </si>
  <si>
    <t xml:space="preserve">карта №51,52,53,54,55,56  от 26.04.2019    </t>
  </si>
  <si>
    <t xml:space="preserve">карта №57 от 26.04.2019    </t>
  </si>
  <si>
    <t xml:space="preserve">карта №58,59,60  от 26.04.2019    </t>
  </si>
  <si>
    <t xml:space="preserve">карта №61 от 26.04.2019    </t>
  </si>
  <si>
    <t xml:space="preserve">карта №62 от 26.04.2019    </t>
  </si>
  <si>
    <t xml:space="preserve">карта №64, 65 от 26.04.2019    </t>
  </si>
  <si>
    <t xml:space="preserve">карта №66,67,68 от 26.04.2019    </t>
  </si>
  <si>
    <t xml:space="preserve">карта №69, 70 от 26.04.2019    </t>
  </si>
  <si>
    <t xml:space="preserve">карта №72,73,74 от 26.04.2019    </t>
  </si>
  <si>
    <t xml:space="preserve">карта №75 от 26.04.2019    </t>
  </si>
  <si>
    <t xml:space="preserve">карта №76,77 от 26.04.2019    </t>
  </si>
  <si>
    <t xml:space="preserve">карта №78 от 26.04.2019    </t>
  </si>
  <si>
    <t xml:space="preserve">карта №79,80  от 26.04.2019    </t>
  </si>
  <si>
    <t xml:space="preserve">карта №81 от 26.04.2019    </t>
  </si>
  <si>
    <t xml:space="preserve">карта №82 от 26.04.2019    </t>
  </si>
  <si>
    <t xml:space="preserve">карта №83,84  от 26.04.2019    </t>
  </si>
  <si>
    <t xml:space="preserve">карта №85 от 26.04.2019    </t>
  </si>
  <si>
    <t xml:space="preserve">карта №86,87 от 26.04.2019    </t>
  </si>
  <si>
    <t xml:space="preserve">карта №88 от 26.04.2019    </t>
  </si>
  <si>
    <t xml:space="preserve">карта №89 от 26.04.2019    </t>
  </si>
  <si>
    <t>карта №90 от 26.04.2019</t>
  </si>
  <si>
    <t xml:space="preserve">карта №91 от 26.04.2019    </t>
  </si>
  <si>
    <t xml:space="preserve">карта №92  от 26.04.2019    </t>
  </si>
  <si>
    <t>карта №93 от 26.07.2019</t>
  </si>
  <si>
    <t>карта №94 от 26.07.2019</t>
  </si>
  <si>
    <t>карта №95 от 26.07.2019</t>
  </si>
  <si>
    <t>карта №96 от 26.07.2019</t>
  </si>
  <si>
    <t>карта №97 от 26.07.2019</t>
  </si>
  <si>
    <t>карта №98 от 26.07.2019</t>
  </si>
  <si>
    <t>карта №1 от 19.04.2019</t>
  </si>
  <si>
    <t>карта №2 от 19.04.2019</t>
  </si>
  <si>
    <t>карта №4 от 19.04.2019</t>
  </si>
  <si>
    <t>карта №5 от 19.04.2019</t>
  </si>
  <si>
    <t>карта №6 от 19.04.2019</t>
  </si>
  <si>
    <t>карта №7 от 19.04.2019</t>
  </si>
  <si>
    <t>карта №8 от 19.04.2019</t>
  </si>
  <si>
    <t>карта №9 от 19.04.2019</t>
  </si>
  <si>
    <t>карта №10 от 19.04.2019</t>
  </si>
  <si>
    <t>карта №3,11 от 19.04.2019</t>
  </si>
  <si>
    <t>карта №12от 19.04.2019</t>
  </si>
  <si>
    <t>карта №13 от 19.04.2019</t>
  </si>
  <si>
    <t>карта №14 от 19.04.2019</t>
  </si>
  <si>
    <t>карта №15 от 19.04.2019</t>
  </si>
  <si>
    <t>карта №16 от 19.04.2019</t>
  </si>
  <si>
    <t>карта № 17 от 19.04.2019</t>
  </si>
  <si>
    <t>карта №18 от 19.04.2019</t>
  </si>
  <si>
    <t>карта №19 от 19.04.2019</t>
  </si>
  <si>
    <t>карта №20 от 19.04.2019</t>
  </si>
  <si>
    <t>карта №21 от 19.04.2019</t>
  </si>
  <si>
    <t>карта №22 от 19.04.2019</t>
  </si>
  <si>
    <t>карта №23 от 19.04.2019</t>
  </si>
  <si>
    <t>карта №24 от 19.04.2019</t>
  </si>
  <si>
    <t>карта №28,29,30,31,32 от 19.04.2019</t>
  </si>
  <si>
    <t>карта №25 от 19.04.2019 (Пол1)</t>
  </si>
  <si>
    <t>карта №26 от 19.04.2019 (Пол1)</t>
  </si>
  <si>
    <t xml:space="preserve">карта №7 от 26.04.2019    </t>
  </si>
  <si>
    <t>Врач-гематолог</t>
  </si>
  <si>
    <t>Врач-гериатр</t>
  </si>
  <si>
    <t xml:space="preserve">карта №14 от 26.04.2019    </t>
  </si>
  <si>
    <t xml:space="preserve">карта №15 от 26.04.2019    </t>
  </si>
  <si>
    <t xml:space="preserve">карта №63 от 26.04.2019    </t>
  </si>
  <si>
    <t xml:space="preserve">карта №71 от 26.04.2019    </t>
  </si>
  <si>
    <t>карта № 90 от 26.04.2019</t>
  </si>
  <si>
    <t>карта № 107 от 26.04.2019</t>
  </si>
  <si>
    <t>карта №48, 49, 50,51, 61  от 26.04.2019</t>
  </si>
  <si>
    <t>Начальник отдела- врач по клинико-экспертной работе</t>
  </si>
  <si>
    <t>карта № 15от 26.04.2019</t>
  </si>
  <si>
    <t>врач-гастроэнтеролог</t>
  </si>
  <si>
    <t>карта №30 от 26.10.2017г. (врач-онколог урол. №2 КБ№1 )</t>
  </si>
  <si>
    <t>карта 100 от 02.07.2019</t>
  </si>
  <si>
    <t>карта №103 от 02.07.2019</t>
  </si>
  <si>
    <t>карта №101 от 02.07.2019</t>
  </si>
  <si>
    <t>карта №82 от 28.06.2019</t>
  </si>
  <si>
    <t>карты с №83 по №92 от 28.06.2019 (все КБ, все пол)</t>
  </si>
  <si>
    <t>карта №107 от 28.06.2019 (все КБ, все пол)</t>
  </si>
  <si>
    <t>карта №102 от 02.07.2019</t>
  </si>
  <si>
    <t>карта №1 от 02.07.2019</t>
  </si>
  <si>
    <t>карты с №2 по №26 от 02.07.2019 (все КБ, все пол)</t>
  </si>
  <si>
    <t>карта с №28 по №31 от 02.07.2019 (все КБ, все пол)</t>
  </si>
  <si>
    <t>карта №32 от 02.07.2019 (все КБ, все пол)</t>
  </si>
  <si>
    <t>Карта №96 от 28.06.2019г. (инвалид)                                                             карты с №93 по №95 и с№97 по №106 от 28.06.2019                                     (все КБ, все пол)</t>
  </si>
  <si>
    <t>карты с №6 по №9 от 28.06.2019 (все КБ, все пол)</t>
  </si>
  <si>
    <t>карты с №10 по №27 от 28.06.2019 (все КБ, все пол)</t>
  </si>
  <si>
    <t>карты с №28 по №36 от 28.06.2019 (все КБ, все пол)</t>
  </si>
  <si>
    <t>карты с №37 по №40 от 28.06.2019 (все КБ, все пол)</t>
  </si>
  <si>
    <t>карты с № 41 по № 47 от 28.06.2019 (все КБ, все пол)</t>
  </si>
  <si>
    <t>карты с № 48 по № 50 от 28.06.2019 (все КБ, все пол)</t>
  </si>
  <si>
    <t>карта № 51 от 28.06.2019 (все КБ, все пол)</t>
  </si>
  <si>
    <t>карты с № 52 по № 54 от 28.06.2019 (все КБ, все пол)</t>
  </si>
  <si>
    <t>карта №1 от 28.06.2019 (все КБ, все пол)</t>
  </si>
  <si>
    <t>карты с №2 по №5 от 28.06.2019 (все КБ, все пол)</t>
  </si>
  <si>
    <t>карта №55 от 28.06.2019</t>
  </si>
  <si>
    <t>карта №56 от 28.06.2019</t>
  </si>
  <si>
    <t>карта №57 от 28.06.2019</t>
  </si>
  <si>
    <t>карта №58 от 28.06.2019</t>
  </si>
  <si>
    <t>карты с №60 по №63 от 28.06.2019</t>
  </si>
  <si>
    <t>карта №66 от 28.06.2019</t>
  </si>
  <si>
    <t>карта №64 от 28.06.2019</t>
  </si>
  <si>
    <t>карта №65 от 28.06.2019</t>
  </si>
  <si>
    <t>карта №67 от 28.06.2019</t>
  </si>
  <si>
    <t>карта №68 от 28.06.2019</t>
  </si>
  <si>
    <t>карты с №69 по №72 от 28.06.2019</t>
  </si>
  <si>
    <t>карты с №73 по №78 от 28.06.2019</t>
  </si>
  <si>
    <t>карта №79,80 от 28.06.2019</t>
  </si>
  <si>
    <t>карта №81 от 28.06.2019</t>
  </si>
  <si>
    <t>карта №112 от 08.07.2019</t>
  </si>
  <si>
    <t>карта №51 от 17.10.2014    (Пол3);  карта №8 от 03.11.2017(КБ2)</t>
  </si>
  <si>
    <t>карта №14 от 05.12.2016    (КБ4); карта №7 от 03.11.2017(КБ2)</t>
  </si>
  <si>
    <t>карта №56 от 17.10.2014  (Пол3),  карта №21 от 05.12.2016  (КБ4), карта № 149 от 20.04.2018 (КБ3), карта №26 от 19.04.2019(пол№1)</t>
  </si>
  <si>
    <t>карта №55 от 17.10.2014  (Пол3), карта №20 от 05.12.2016 (КБ4), карта № 148 от 20.04.2018 (КБ3), карта №25 от 19.04.2019 (пол№1)</t>
  </si>
  <si>
    <t>№7 от 22.12.2016</t>
  </si>
  <si>
    <t>№8 от 22.12.2016</t>
  </si>
  <si>
    <t>№9 от 22.12.2016</t>
  </si>
  <si>
    <t>№10 от 22.12.2016</t>
  </si>
  <si>
    <t>карта №7 от 05.12.2016  (заведующий отделением-врач-эндокопист эндоскопического отделения ОЛД рабочее место на территории Кб№4)</t>
  </si>
  <si>
    <t>карта №66 от 26.10.2017 (врач-эндоскопист эндоскопического отделения ОЛД рабочее место на территории КБ1)</t>
  </si>
  <si>
    <t>карта №67 от 26.10.2017 (операционная медицинская сестра эндоскопического отделения ОЛД рабочее место на территории КБ1)</t>
  </si>
  <si>
    <t>карта №67 от 26.10.2017 (медицинская сестра эндоскопического отделения ОЛД рабочее место на территории КБ1)</t>
  </si>
  <si>
    <t>карта №33 от 02.07.2019   (КБ3)</t>
  </si>
  <si>
    <t>карта №67 от 26.10.2017 (КБ1); №34 от 02.07.2019</t>
  </si>
  <si>
    <t xml:space="preserve">Медицинская сестра участковая  </t>
  </si>
  <si>
    <t>Фельдшер (медицинской профилактики)</t>
  </si>
  <si>
    <t>нет должности в штатном расписании</t>
  </si>
  <si>
    <t>карта № 24 от 01.04.2019  (медсестра неврологического кабинета)</t>
  </si>
  <si>
    <t>карта № 28 от 01.04.2019  (врач-дерматовенеролог дермат.кабинета)</t>
  </si>
  <si>
    <t xml:space="preserve"> карта №13 от 20.04.2018   </t>
  </si>
  <si>
    <t xml:space="preserve"> карта №13 от 20.04.2018  (медсестра хирургического кабинета пол№3)</t>
  </si>
  <si>
    <t>карта № 46,47 от 01.04.2019 (медсестра отд.мед.профилактики пол№4)</t>
  </si>
  <si>
    <t xml:space="preserve">карта № 50,51 от 01.04.2019 (медсестра процедурной проц. Каб. пол.№4)  </t>
  </si>
  <si>
    <t>карта № 60 от 01.04.2019  (уборщик общепол.немедперс пол№4)</t>
  </si>
  <si>
    <t xml:space="preserve"> карта №43 от 20.04.2018 (врач-терапевт тер.от кб№1)</t>
  </si>
  <si>
    <t>№54 от 20.04.2018г.  (врач-гастроэнтеролог терап.№2 Кб№1 )</t>
  </si>
  <si>
    <t>карты с №73 по №78 от 28.06.2019 (инструктор по ЛФК отд ЛФК КБ№2)</t>
  </si>
  <si>
    <t>карта № 38 от 01.04.2019 (врач-психиатр отд мед.профилакт пол№4)</t>
  </si>
  <si>
    <t>карта №22 от 03.11.2017  (заведующ. отд ЧЛХ №3)</t>
  </si>
  <si>
    <t xml:space="preserve">карта №25 от 03.11.2017   (ст. м/с отд ЧЛХ КБ№3) </t>
  </si>
  <si>
    <t>карта №26 от 03.11.2017  (медсестра палат отд ЧЛХ КБ№3)</t>
  </si>
  <si>
    <t xml:space="preserve">карта №27 от 03.11.2017 (медсестра процед отд ЧЛХ КБ№3)   </t>
  </si>
  <si>
    <t xml:space="preserve">карта №28 от 03.11.2017  (медсестра перевязочн. Отд ЧЛХ КБ№3)  </t>
  </si>
  <si>
    <t>карта №4 от 28.04.2018 (кастелянша отд ЧЛХ КБ№3)</t>
  </si>
  <si>
    <t>карта №5 от 28.04.2018 (уборщик отдЧЛХ КБ№3)</t>
  </si>
  <si>
    <t>карта №24 от 03.11.2017 (врач-пластич. хирург отд ЧЛХ КБ№3)</t>
  </si>
  <si>
    <t>карта №18 от 05.12.2016 (санитарка прием-консульт отд КБ№30</t>
  </si>
  <si>
    <t>карта №86 от 28.04.2018 (подсобный рабочий аптеки)</t>
  </si>
  <si>
    <t>карта № 79 от 26.04.2019 (ведущий инженер отд АСУП)</t>
  </si>
  <si>
    <t xml:space="preserve">карта №49 от 05.12.2016 (медицинская сестра стрилизацион ЦСО КБ№4)  </t>
  </si>
  <si>
    <t>карта № 92 от 26.04.2019 (инженер инженернг группы тех отд)</t>
  </si>
  <si>
    <t>Заместитель начальника технического отдела по энергетике</t>
  </si>
  <si>
    <t>заместитель начальника отдела</t>
  </si>
  <si>
    <t>нет в штатном расписании</t>
  </si>
  <si>
    <t xml:space="preserve">карта №40 от 15.05.2018 </t>
  </si>
  <si>
    <t>карта №40 от 15.05.2018 (ведущий инженер энергетик инж гр. тех отд)</t>
  </si>
  <si>
    <t>карта №49 от 15.05.2018 (начальник ОМТС)</t>
  </si>
  <si>
    <t xml:space="preserve">карта № 10 от 20.04.2018 </t>
  </si>
  <si>
    <t>карта №75 от 26.04.2019г. (врач-терапевт дневного стационара пол№3)</t>
  </si>
  <si>
    <t>карта № 33, 34, 35, 36 от 26.04.2019 (ведущий экономист ПЭО)</t>
  </si>
  <si>
    <t xml:space="preserve">карта № 5 от 01.04.2019  (медицинский статистик пол№4)  </t>
  </si>
  <si>
    <t>карта №75 от 07.08.2019</t>
  </si>
  <si>
    <t>карта №76 от 07.08.2019</t>
  </si>
  <si>
    <t>карта №77 от 07.08.2019</t>
  </si>
  <si>
    <t>карта №78-80 от 07.08.2019</t>
  </si>
  <si>
    <t>карта №81,82 от 07.08.2019</t>
  </si>
  <si>
    <t>карта №83 от 07.08.2019</t>
  </si>
  <si>
    <t>карта №84 от 07.08.2019</t>
  </si>
  <si>
    <t>карта №85 от 07.08.2019</t>
  </si>
  <si>
    <t>карта №86 от 07.08.2019</t>
  </si>
  <si>
    <t>карта №88 от 07.08.2019</t>
  </si>
  <si>
    <t>карта №91 от 07.08.2019</t>
  </si>
  <si>
    <t>карта №89,92 от 07.08.2019</t>
  </si>
  <si>
    <t>карта №87 от 07.08.2019</t>
  </si>
  <si>
    <t>карта №90 от 07.08.2019</t>
  </si>
  <si>
    <t>карта № 93-94 от 07.08.2019</t>
  </si>
  <si>
    <t>карта №95 от 07.08.2019</t>
  </si>
  <si>
    <t>карта №96 от 07.08.2019</t>
  </si>
  <si>
    <t>карта №97 от 07.08.2019</t>
  </si>
  <si>
    <t>карта № 98,99 от 07.08.2019</t>
  </si>
  <si>
    <t xml:space="preserve">карта №35 от 08.07.2019    </t>
  </si>
  <si>
    <t xml:space="preserve">карта №36-39 от 08.07.2019    </t>
  </si>
  <si>
    <t xml:space="preserve">карта №40 от 08.07.2019    </t>
  </si>
  <si>
    <t xml:space="preserve">карта №43-44 от 08.07.2019    </t>
  </si>
  <si>
    <t xml:space="preserve">карта №42 от 08.07.2019    </t>
  </si>
  <si>
    <t xml:space="preserve">карта №41 от 08.07.2019    </t>
  </si>
  <si>
    <t xml:space="preserve">карта №45 от 08.07.2019    </t>
  </si>
  <si>
    <t xml:space="preserve">карта №47 от 08.07.2019    </t>
  </si>
  <si>
    <t xml:space="preserve">карта №48 от 08.07.2019    </t>
  </si>
  <si>
    <t xml:space="preserve">карта №49 от 08.07.2019    </t>
  </si>
  <si>
    <t xml:space="preserve">карта №46 от 08.07.2019    </t>
  </si>
  <si>
    <t xml:space="preserve">карта №50 от 08.07.2019    </t>
  </si>
  <si>
    <t xml:space="preserve">карта №51 от 08.07.2019    </t>
  </si>
  <si>
    <t xml:space="preserve">карта №52-55 от 08.07.2019    </t>
  </si>
  <si>
    <t xml:space="preserve">карта №56 от 08.07.2019    </t>
  </si>
  <si>
    <t xml:space="preserve">карта №57-59 от 08.07.2019    </t>
  </si>
  <si>
    <t xml:space="preserve">карта №60 от 08.07.2019    </t>
  </si>
  <si>
    <t xml:space="preserve">карта №61 от 08.07.2019    </t>
  </si>
  <si>
    <t>карта №1433.0012 от 09.12.2015</t>
  </si>
  <si>
    <t>карта №1433.0011 от 09.12.2015</t>
  </si>
  <si>
    <t>карта №1433.0014 от 09.12.2015</t>
  </si>
  <si>
    <t>карта №1433.0015 от 09.12.2015</t>
  </si>
  <si>
    <t>карта №1433.0067 от 09.12.2015</t>
  </si>
  <si>
    <t>карта №1434.0001 от 09.12.2015</t>
  </si>
  <si>
    <t>карта №1434.0002 от 09.12.2015</t>
  </si>
  <si>
    <t>карта №1434.0003 от 09.12.2015</t>
  </si>
  <si>
    <t>карта №1434.0004 от 09.12.2015</t>
  </si>
  <si>
    <t>карта №1434.0005 от 09.12.2015</t>
  </si>
  <si>
    <t>карта №1434.0012 от 09.12.2015</t>
  </si>
  <si>
    <t>карта №1434.0013 от 09.12.2015</t>
  </si>
  <si>
    <t>карта №1434.0014 от 09.12.2015</t>
  </si>
  <si>
    <t>карта №1434.0015 от 09.12.2015</t>
  </si>
  <si>
    <t>карта №1434.0016А, карта №1434.0017А от 09.12.2015</t>
  </si>
  <si>
    <t>карта №1434.0020 от 09.12.2015</t>
  </si>
  <si>
    <t>карта №1434.0021 от 09.12.2015</t>
  </si>
  <si>
    <t>карта №1434.0022 от 09.12.2015</t>
  </si>
  <si>
    <t>карта №1434.0023А, карта №1434.0024А от 09.12.2015</t>
  </si>
  <si>
    <t>карта №1434.0025 от 09.12.2015</t>
  </si>
  <si>
    <t>карта №1434.0026 от 09.12.2015</t>
  </si>
  <si>
    <t>карта №1434.0027 от 09.12.2015</t>
  </si>
  <si>
    <t>карта №1434.0028 от 09.12.2015</t>
  </si>
  <si>
    <t>карта №1434.0032 от 09.12.2015</t>
  </si>
  <si>
    <t>карта №1434.0031 от 09.12.2015</t>
  </si>
  <si>
    <t>карта №1434.0033 от 09.12.2015</t>
  </si>
  <si>
    <t>карта №1435.0017 от 09.12.2015</t>
  </si>
  <si>
    <t>карта №1435.0002 от 09.12.2015</t>
  </si>
  <si>
    <t>карта №1435.0007 от 09.12.2015</t>
  </si>
  <si>
    <t>карта №1435.0008 от 09.12.2015</t>
  </si>
  <si>
    <t>карта №1435.0009 от 09.12.2015</t>
  </si>
  <si>
    <t>карта №1435.0010 от 09.12.2015</t>
  </si>
  <si>
    <t>карта №1435.0011 от 09.12.2015</t>
  </si>
  <si>
    <t>карта №1435.0013 от 09.12.2015</t>
  </si>
  <si>
    <t>карта №1435.0014 от 09.12.2015</t>
  </si>
  <si>
    <t>карта №1435.0017 от 02.12.2015, № 75, 15.05.2018</t>
  </si>
  <si>
    <t xml:space="preserve">карта № 1 от 30.07.2020   </t>
  </si>
  <si>
    <t xml:space="preserve">карта № 2, 4, 5  от 30.07.2020  </t>
  </si>
  <si>
    <t>карта № 3 от 30.07.2020</t>
  </si>
  <si>
    <t>карта № 6 от 30.07.2020</t>
  </si>
  <si>
    <t>карта №  10,11,12,13 от 30.07.2020</t>
  </si>
  <si>
    <t>карта № 15 от 30.07.2020</t>
  </si>
  <si>
    <t>карта № 14 от 30.07.2020</t>
  </si>
  <si>
    <t>карта № 16, 17 от 30.07.2020</t>
  </si>
  <si>
    <t>карта № 18 от 30.07.2020</t>
  </si>
  <si>
    <t>карта № 19,20 от 30.07.2020</t>
  </si>
  <si>
    <t>карта №1 от 28.07.2020</t>
  </si>
  <si>
    <t>карта №2, 3, 4 от 28.07.2020</t>
  </si>
  <si>
    <t>карта №5 от 28.07.2020</t>
  </si>
  <si>
    <t xml:space="preserve">Медицинская сестра (мед.брат) палатная </t>
  </si>
  <si>
    <t>карта № 6,7,8,9,10,11,12,13,14,15,16 от 28.07.2020</t>
  </si>
  <si>
    <t>карта №17 от 28.07.2020</t>
  </si>
  <si>
    <t>карта №18 от 28.07.2020</t>
  </si>
  <si>
    <t>карта №19,20,21 от 28.07.2020</t>
  </si>
  <si>
    <t>карта №22 от 28.07.2020</t>
  </si>
  <si>
    <t>карта №23 от 28.07.2020</t>
  </si>
  <si>
    <t>карта №24 от 28.07.2020</t>
  </si>
  <si>
    <t>карта №25,26,27 от 28.07.2020</t>
  </si>
  <si>
    <t>карта №28 от 28.07.2020</t>
  </si>
  <si>
    <t>Медицинская сестра (мед.брат) палатная</t>
  </si>
  <si>
    <t>карта № 29,30,31,32,33,34,35,36 от 28.07.2020</t>
  </si>
  <si>
    <t>карта №37 от 28.07.2020</t>
  </si>
  <si>
    <t>карта №38 от 28.07.2020</t>
  </si>
  <si>
    <t>карта №39 от 28.07.2020</t>
  </si>
  <si>
    <t>карта №40 от 28.07.2020</t>
  </si>
  <si>
    <t>карта №41 от 28.07.2020</t>
  </si>
  <si>
    <t>карта №42 от 28.07.2020</t>
  </si>
  <si>
    <t>карта №43,44,45 от 28.07.2020</t>
  </si>
  <si>
    <t>Эмбриолог</t>
  </si>
  <si>
    <t>карта №46,47 от 28.07.2020</t>
  </si>
  <si>
    <t>карта №48,49,50,51,52 от 28.07.2020</t>
  </si>
  <si>
    <t>карта №53 от 28.07.2020</t>
  </si>
  <si>
    <t>карта №54 от 28.07.2020</t>
  </si>
  <si>
    <t>карта №56,57 от 28.07.2020</t>
  </si>
  <si>
    <t>карта №55,58 от 28.07.2020</t>
  </si>
  <si>
    <t>карта №59 от 28.07.2020</t>
  </si>
  <si>
    <t>карта №60,61 от 28.07.2020</t>
  </si>
  <si>
    <t>карта №62 от 28.07.2020</t>
  </si>
  <si>
    <t>карта №63,64,65,66 от 28.07.2020</t>
  </si>
  <si>
    <t>карта №67 от 28.07.2020</t>
  </si>
  <si>
    <t>карта №68 от 28.07.2020</t>
  </si>
  <si>
    <t>карта №69 от 28.07.2020</t>
  </si>
  <si>
    <t>карта №70 от 28.07.2020</t>
  </si>
  <si>
    <t>карта №71,72,73 от 28.07.2020</t>
  </si>
  <si>
    <t>карта №74 от 28.07.2020</t>
  </si>
  <si>
    <t>карта №75,76 от 28.07.2020</t>
  </si>
  <si>
    <t>карта №77 от 28.07.2020</t>
  </si>
  <si>
    <t>карта №78 от 28.07.2020</t>
  </si>
  <si>
    <t>карта №79 от 28.07.2020</t>
  </si>
  <si>
    <t>карта №80 от 28.07.2020</t>
  </si>
  <si>
    <t>карта №81,82,83 от 28.07.2020</t>
  </si>
  <si>
    <t>карта №84 от 28.07.2020</t>
  </si>
  <si>
    <t>карта №86,87,88,89,90,91 от 28.07.2020</t>
  </si>
  <si>
    <t>карта №92,93 от 28.07.2020</t>
  </si>
  <si>
    <t>карта №94 от 28.07.2020</t>
  </si>
  <si>
    <t>карта №95 от 28.07.2020</t>
  </si>
  <si>
    <t>карта №96,97 от 28.07.2020</t>
  </si>
  <si>
    <t>карта №98,99 от 28.07.2020</t>
  </si>
  <si>
    <t>Нейрохирургическое отделение №2</t>
  </si>
  <si>
    <t>Заведующий отделением-врач-нейрохирург</t>
  </si>
  <si>
    <t>карта №100 от 28.07.2020</t>
  </si>
  <si>
    <t>карта №101 от 28.07.2020</t>
  </si>
  <si>
    <t>карта №102 от 28.07.2020</t>
  </si>
  <si>
    <t>карта №103 от 28.07.2020</t>
  </si>
  <si>
    <t>карта №85 от 28.07.2020</t>
  </si>
  <si>
    <t>карта №104,105,106,107,108,109 от 28.07.2020</t>
  </si>
  <si>
    <t>карта №110,111,112,113 от 28.07.2020</t>
  </si>
  <si>
    <t xml:space="preserve">карта № 21 от 30.07.2020  </t>
  </si>
  <si>
    <t>карта № 22, 23, 24 от 30.07.2020</t>
  </si>
  <si>
    <t>карта № 25 от 30.07.2020</t>
  </si>
  <si>
    <t>карта № 26 - 32 от 30.07.2020</t>
  </si>
  <si>
    <t>карта № 33 от 30.07.2020</t>
  </si>
  <si>
    <t>карта № 34 от 30.07.2020</t>
  </si>
  <si>
    <t>карта № 35 от 30.07.2020</t>
  </si>
  <si>
    <t xml:space="preserve">карта № 36 от 30.07.2020  </t>
  </si>
  <si>
    <t>карта № 37 от 30.07.2020</t>
  </si>
  <si>
    <t>карта № 38,39,40 от 30.07.2020</t>
  </si>
  <si>
    <t>карта № 41 от 30.07.2020</t>
  </si>
  <si>
    <t>карта № 42 - 46 от 30.07.2020</t>
  </si>
  <si>
    <t>карта № 47 от 30.07.2020</t>
  </si>
  <si>
    <t>карта № 48 от 30.07.2020</t>
  </si>
  <si>
    <t>карта № 49 от 30.07.2020</t>
  </si>
  <si>
    <t>карта № 50 - 55 от 30.07.2020</t>
  </si>
  <si>
    <t>карта № 56,57 от 30.07.2020</t>
  </si>
  <si>
    <t>карта № 58 от 30.07.2020</t>
  </si>
  <si>
    <t>карта № 59, 60, 62 от 30.07.2020</t>
  </si>
  <si>
    <t>карта № 63 от 30.07.2020</t>
  </si>
  <si>
    <t>карта № 64 - 71 от 30.07.2020</t>
  </si>
  <si>
    <t>карта № 72 от 30.07.2020</t>
  </si>
  <si>
    <t>карта № 73, 74, 75 от 30.07.2020</t>
  </si>
  <si>
    <t>карта № 76 от 30.07.2020</t>
  </si>
  <si>
    <t>карта № 77 от 30.07.2020</t>
  </si>
  <si>
    <t>карта № 82, 83, 84 от 30.07.2020</t>
  </si>
  <si>
    <t>карта № 78, 81 от 30.07.2020</t>
  </si>
  <si>
    <t>карта № 79, 80 от 30.07.2020</t>
  </si>
  <si>
    <t>карта № 85 от 30.07.2020</t>
  </si>
  <si>
    <t>карта № 86 - 90  от 30.07.2020</t>
  </si>
  <si>
    <t>карта № 91 от 30.07.2020</t>
  </si>
  <si>
    <t>карта № 92, 93, 94  от 30.07.2020</t>
  </si>
  <si>
    <t>карта № 95 от 30.07.2020</t>
  </si>
  <si>
    <t>карта № 96, 97, 98, 99 от 30.07.2020</t>
  </si>
  <si>
    <t>карта № 100 от 30.07.2020</t>
  </si>
  <si>
    <t xml:space="preserve">карта № 101 - 107 от 30.07.2020 </t>
  </si>
  <si>
    <t>карта № 108 от 30.07.2020</t>
  </si>
  <si>
    <t>карта № 109 от 30.07.2020</t>
  </si>
  <si>
    <t>карта № 110, 111 от 30.07.2020</t>
  </si>
  <si>
    <t>карта № 114 от 28.07.2020</t>
  </si>
  <si>
    <t>карта № 115 от 28.07.2020</t>
  </si>
  <si>
    <t>карта № 116 от 28.07.2020</t>
  </si>
  <si>
    <t>карта № 117, 118, 119 от 30.07.2020</t>
  </si>
  <si>
    <t>карта № 120 - 124 от 30.07.2020</t>
  </si>
  <si>
    <t>карта № 125 - 128 от 30.07.2020</t>
  </si>
  <si>
    <t>карта № 129 - 132 от 30.07.2020</t>
  </si>
  <si>
    <t>карта №111 от 08.07.2019</t>
  </si>
  <si>
    <t>карта №108 от 08.07.2019</t>
  </si>
  <si>
    <t>карта №109 от 08.07.2019</t>
  </si>
  <si>
    <t>карта №110 от 08.07.2019</t>
  </si>
  <si>
    <t xml:space="preserve"> карта №91,92 от 20.04.2018</t>
  </si>
  <si>
    <t xml:space="preserve">карта № 1 от 28.07.2020  </t>
  </si>
  <si>
    <t xml:space="preserve">карта № 2 от 28.07.2020     </t>
  </si>
  <si>
    <t xml:space="preserve">карта № 3,4,5,6 от 28.07.2020     </t>
  </si>
  <si>
    <t xml:space="preserve">карта № 7 от 28.07.2020     </t>
  </si>
  <si>
    <t xml:space="preserve">карта № 8,9 от 28.07.2020     </t>
  </si>
  <si>
    <t xml:space="preserve">карта № 10 от 28.07.2020     </t>
  </si>
  <si>
    <t xml:space="preserve">карта № 11,12 от 28.07.2020     </t>
  </si>
  <si>
    <t xml:space="preserve">карта № 13 от 28.07.2020     </t>
  </si>
  <si>
    <t xml:space="preserve">карта № 14,15 от 28.07.2020     </t>
  </si>
  <si>
    <t xml:space="preserve">карта № 16,17 от 28.07.2020     </t>
  </si>
  <si>
    <t xml:space="preserve">карта № 18 от 28.07.2020     </t>
  </si>
  <si>
    <t xml:space="preserve">карта № 19,20,21 от 28.07.2020     </t>
  </si>
  <si>
    <t xml:space="preserve">карта № 22 от 28.07.2020     </t>
  </si>
  <si>
    <t xml:space="preserve">карта № 23 от 28.07.2020     </t>
  </si>
  <si>
    <t xml:space="preserve">карта № 24,25,26 от 28.07.2020     </t>
  </si>
  <si>
    <t xml:space="preserve">карта № 27,28 от 28.07.2020     </t>
  </si>
  <si>
    <t xml:space="preserve">карта № 29 от 28.07.2020     </t>
  </si>
  <si>
    <t xml:space="preserve">карта № 30 от 28.07.2020     </t>
  </si>
  <si>
    <t xml:space="preserve">карта № 31,32,33,34,35,36 от 28.07.2020     </t>
  </si>
  <si>
    <t xml:space="preserve">карта № 37 от 28.07.2020     </t>
  </si>
  <si>
    <t>Медицинский брат</t>
  </si>
  <si>
    <t xml:space="preserve">карта № 40 от 28.07.2020     </t>
  </si>
  <si>
    <t xml:space="preserve">карта № 38,39,41,42 от 28.07.2020     </t>
  </si>
  <si>
    <t xml:space="preserve">карта № 43 от 28.07.2020     </t>
  </si>
  <si>
    <t xml:space="preserve">карта № 44 от 28.07.2020     </t>
  </si>
  <si>
    <t xml:space="preserve">карта № 45 от 28.07.2020     </t>
  </si>
  <si>
    <t xml:space="preserve">карта № 46,47,48 от 28.07.2020     </t>
  </si>
  <si>
    <t xml:space="preserve">карта № 49,50 от 28.07.2020     </t>
  </si>
  <si>
    <t xml:space="preserve">карта № 51 от 28.07.2020     </t>
  </si>
  <si>
    <t xml:space="preserve">карта № 52 от 28.07.2020     </t>
  </si>
  <si>
    <t xml:space="preserve">карта № 53,54,55,56 от 28.07.2020     </t>
  </si>
  <si>
    <t xml:space="preserve">карта № 57 от 28.07.2020     </t>
  </si>
  <si>
    <t xml:space="preserve">карта № 58,59,60 от 28.07.2020     </t>
  </si>
  <si>
    <t xml:space="preserve">карта № 61 от 28.07.2020     </t>
  </si>
  <si>
    <t xml:space="preserve">карта № 62 от 28.07.2020     </t>
  </si>
  <si>
    <t xml:space="preserve">карта № 63 от 28.07.2020     </t>
  </si>
  <si>
    <t xml:space="preserve">карта № 64 от 28.07.2020     </t>
  </si>
  <si>
    <t xml:space="preserve">карта № 65 от 28.07.2020     </t>
  </si>
  <si>
    <t xml:space="preserve">карта № 65,66 от 28.07.2020     </t>
  </si>
  <si>
    <t xml:space="preserve">карта № 67,68,69,70 от 28.07.2020     </t>
  </si>
  <si>
    <t xml:space="preserve">карта № 71 от 28.07.2020     </t>
  </si>
  <si>
    <t xml:space="preserve">карта № 72,73 от 28.07.2020     </t>
  </si>
  <si>
    <t xml:space="preserve">карта № 74 от 28.07.2020     </t>
  </si>
  <si>
    <t xml:space="preserve">карта № 75,76 от 28.07.2020     </t>
  </si>
  <si>
    <t>Консультативно-диагностическая клиника (Бурнаковская)</t>
  </si>
  <si>
    <t>Общеполиклинический персонал</t>
  </si>
  <si>
    <t xml:space="preserve">Главный врач КДК </t>
  </si>
  <si>
    <t>карта № 1 от 28.07.2020</t>
  </si>
  <si>
    <t>Заместитель главного врача по КЭР</t>
  </si>
  <si>
    <t>карта № 2 от 28.07.2020</t>
  </si>
  <si>
    <t xml:space="preserve">Главная медицинская сестра </t>
  </si>
  <si>
    <t>карта № 3 от 28.07.2020</t>
  </si>
  <si>
    <t>Врач-акушер-гинеколог</t>
  </si>
  <si>
    <t>карта № 4 от 28.07.2020</t>
  </si>
  <si>
    <t>Врач-гастроэнтэролог</t>
  </si>
  <si>
    <t>карта № 5,6 от 28.07.2020</t>
  </si>
  <si>
    <t>карта № 7 от 28.07.2020</t>
  </si>
  <si>
    <t>карта № 8 от 28.07.2020</t>
  </si>
  <si>
    <t>карта № 9 от 28.07.2020</t>
  </si>
  <si>
    <t>карта № 10 от 28.07.2020</t>
  </si>
  <si>
    <t>карта № 11 от 28.07.2020</t>
  </si>
  <si>
    <t xml:space="preserve">Врач-терапевт </t>
  </si>
  <si>
    <t>карта № 12 от 28.07.2020</t>
  </si>
  <si>
    <t>карта № 13 от 28.07.2020</t>
  </si>
  <si>
    <t>карта № 14 от 28.07.2020</t>
  </si>
  <si>
    <t>карта № 15 от 28.07.2020</t>
  </si>
  <si>
    <t>карта № 16 от 28.07.2020</t>
  </si>
  <si>
    <t>Врач УЗИ</t>
  </si>
  <si>
    <t>карта № 17,18 от 28.07.2020</t>
  </si>
  <si>
    <t>карта № 19 от 28.07.2020</t>
  </si>
  <si>
    <t>карта № 20 от 28.07.2020</t>
  </si>
  <si>
    <t>карта № 21 от 28.07.2020</t>
  </si>
  <si>
    <t xml:space="preserve">Медицинская сестра процедурной </t>
  </si>
  <si>
    <t>карта № 22 от 28.07.2020</t>
  </si>
  <si>
    <t>Стоматологический кабинет</t>
  </si>
  <si>
    <t xml:space="preserve">Врач-стоматолог детский </t>
  </si>
  <si>
    <t>карта № 23 от 28.07.2020</t>
  </si>
  <si>
    <t>карта № 24 от 28.07.2020</t>
  </si>
  <si>
    <t xml:space="preserve">Врач - стоматолог - ортопед </t>
  </si>
  <si>
    <t>карта № 25 от 28.07.2020</t>
  </si>
  <si>
    <t>карта № 26 от 28.07.2020</t>
  </si>
  <si>
    <t xml:space="preserve">Детское отделение </t>
  </si>
  <si>
    <t>карта № 27 от 28.07.2020</t>
  </si>
  <si>
    <t xml:space="preserve">Врач-кардиолог-детский </t>
  </si>
  <si>
    <t>карта № 28 от 28.07.2020</t>
  </si>
  <si>
    <t>Врач-детский хирург</t>
  </si>
  <si>
    <t>карта № 29 от 28.07.2020</t>
  </si>
  <si>
    <t xml:space="preserve">Врач-детский эндокринолог </t>
  </si>
  <si>
    <t>карта № 30 от 28.07.2020</t>
  </si>
  <si>
    <t>карта № 31 от 28.07.2020</t>
  </si>
  <si>
    <t xml:space="preserve">Заведующий хозяйством </t>
  </si>
  <si>
    <t>карта № 32 от 28.07.2020</t>
  </si>
  <si>
    <t xml:space="preserve">Администратор </t>
  </si>
  <si>
    <t>карта № 33 от 28.07.2020</t>
  </si>
  <si>
    <t xml:space="preserve">Кастелянша </t>
  </si>
  <si>
    <t>карта № 34 от 28.07.2020</t>
  </si>
  <si>
    <t>Отдел ГО и ЧС</t>
  </si>
  <si>
    <t>карта №87 от 20.04.2018 (админ прием.отд КБ № 1)</t>
  </si>
  <si>
    <t>карта №62 от 20.04.2018г. (врач-онколог онкол. отд. КБ№1)</t>
  </si>
  <si>
    <t>карта № 116 от 28.07.2020 (врач-эндокринолог тер.отд кб 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</si>
</sst>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1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33CC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FF00FF"/>
      <name val="Arial Cyr"/>
      <family val="2"/>
      <charset val="204"/>
    </font>
    <font>
      <sz val="8"/>
      <color rgb="FF008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8"/>
      <color rgb="FF008000"/>
      <name val="Arial Cyr"/>
      <family val="2"/>
      <charset val="204"/>
    </font>
    <font>
      <sz val="8"/>
      <color rgb="FF008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b/>
      <sz val="10"/>
      <color rgb="FFFF3399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CC0099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993366"/>
      <name val="Times New Roman"/>
      <family val="1"/>
      <charset val="204"/>
    </font>
    <font>
      <b/>
      <sz val="10"/>
      <color rgb="FFCC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8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339933"/>
      <name val="Times New Roman"/>
      <family val="1"/>
      <charset val="204"/>
    </font>
    <font>
      <b/>
      <sz val="11"/>
      <color rgb="FFFF33CC"/>
      <name val="Times New Roman"/>
      <family val="1"/>
      <charset val="204"/>
    </font>
    <font>
      <b/>
      <sz val="11"/>
      <color rgb="FFFF3399"/>
      <name val="Times New Roman"/>
      <family val="1"/>
      <charset val="204"/>
    </font>
    <font>
      <b/>
      <sz val="9"/>
      <color rgb="FFFF3399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11"/>
      <color rgb="FF1F497D"/>
      <name val="Times New Roman"/>
      <family val="1"/>
      <charset val="204"/>
    </font>
    <font>
      <b/>
      <sz val="10"/>
      <color rgb="FF1F497D"/>
      <name val="Times New Roman"/>
      <family val="1"/>
      <charset val="204"/>
    </font>
    <font>
      <sz val="10"/>
      <color rgb="FF1F497D"/>
      <name val="Times New Roman"/>
      <family val="1"/>
      <charset val="204"/>
    </font>
    <font>
      <sz val="8"/>
      <color rgb="FF1F497D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sz val="11"/>
      <color rgb="FFCC009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8"/>
      <color rgb="FF80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2"/>
      <color rgb="FF3366FF"/>
      <name val="Times New Roman"/>
      <family val="1"/>
      <charset val="204"/>
    </font>
    <font>
      <b/>
      <sz val="11"/>
      <color rgb="FF3366FF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Arial Cyr"/>
      <family val="2"/>
      <charset val="204"/>
    </font>
    <font>
      <b/>
      <sz val="10"/>
      <color rgb="FF26269A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CF8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</cellStyleXfs>
  <cellXfs count="7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0" borderId="0" xfId="0" applyBorder="1"/>
    <xf numFmtId="0" fontId="12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22" fillId="0" borderId="0" xfId="0" applyNumberFormat="1" applyFont="1"/>
    <xf numFmtId="2" fontId="23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 vertical="top" wrapText="1"/>
    </xf>
    <xf numFmtId="2" fontId="2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2" fontId="4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2" fontId="9" fillId="0" borderId="2" xfId="0" applyNumberFormat="1" applyFont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right" wrapText="1"/>
    </xf>
    <xf numFmtId="2" fontId="11" fillId="0" borderId="2" xfId="0" applyNumberFormat="1" applyFont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/>
    <xf numFmtId="0" fontId="2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2" fontId="16" fillId="0" borderId="2" xfId="0" applyNumberFormat="1" applyFont="1" applyBorder="1" applyAlignment="1">
      <alignment horizontal="center" wrapText="1"/>
    </xf>
    <xf numFmtId="2" fontId="16" fillId="2" borderId="2" xfId="0" applyNumberFormat="1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2" fontId="16" fillId="0" borderId="2" xfId="0" applyNumberFormat="1" applyFont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0" fontId="31" fillId="0" borderId="2" xfId="0" applyFont="1" applyBorder="1"/>
    <xf numFmtId="2" fontId="6" fillId="0" borderId="2" xfId="0" applyNumberFormat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wrapText="1" shrinkToFit="1"/>
    </xf>
    <xf numFmtId="0" fontId="31" fillId="0" borderId="2" xfId="0" applyFont="1" applyBorder="1" applyAlignment="1">
      <alignment wrapText="1"/>
    </xf>
    <xf numFmtId="2" fontId="12" fillId="2" borderId="2" xfId="0" applyNumberFormat="1" applyFont="1" applyFill="1" applyBorder="1" applyAlignment="1">
      <alignment horizontal="center"/>
    </xf>
    <xf numFmtId="0" fontId="32" fillId="0" borderId="2" xfId="0" applyFont="1" applyBorder="1"/>
    <xf numFmtId="2" fontId="32" fillId="0" borderId="2" xfId="0" applyNumberFormat="1" applyFont="1" applyBorder="1" applyAlignment="1">
      <alignment horizontal="center"/>
    </xf>
    <xf numFmtId="2" fontId="32" fillId="2" borderId="2" xfId="0" applyNumberFormat="1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0" fontId="6" fillId="0" borderId="2" xfId="0" applyFont="1" applyBorder="1"/>
    <xf numFmtId="2" fontId="34" fillId="0" borderId="2" xfId="0" applyNumberFormat="1" applyFont="1" applyBorder="1" applyAlignment="1">
      <alignment horizontal="center"/>
    </xf>
    <xf numFmtId="2" fontId="34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35" fillId="0" borderId="2" xfId="0" applyNumberFormat="1" applyFont="1" applyBorder="1" applyAlignment="1">
      <alignment horizontal="center"/>
    </xf>
    <xf numFmtId="2" fontId="35" fillId="2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right"/>
    </xf>
    <xf numFmtId="2" fontId="29" fillId="0" borderId="2" xfId="0" applyNumberFormat="1" applyFont="1" applyBorder="1" applyAlignment="1">
      <alignment horizontal="center"/>
    </xf>
    <xf numFmtId="2" fontId="29" fillId="2" borderId="2" xfId="0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5" fillId="0" borderId="2" xfId="0" applyFont="1" applyBorder="1"/>
    <xf numFmtId="2" fontId="15" fillId="0" borderId="2" xfId="0" applyNumberFormat="1" applyFont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37" fillId="0" borderId="2" xfId="0" applyFont="1" applyBorder="1" applyAlignment="1">
      <alignment wrapText="1"/>
    </xf>
    <xf numFmtId="2" fontId="37" fillId="0" borderId="2" xfId="0" applyNumberFormat="1" applyFont="1" applyBorder="1" applyAlignment="1">
      <alignment horizontal="center"/>
    </xf>
    <xf numFmtId="2" fontId="37" fillId="2" borderId="2" xfId="0" applyNumberFormat="1" applyFont="1" applyFill="1" applyBorder="1" applyAlignment="1">
      <alignment horizontal="center"/>
    </xf>
    <xf numFmtId="0" fontId="37" fillId="0" borderId="2" xfId="0" applyFont="1" applyBorder="1"/>
    <xf numFmtId="2" fontId="38" fillId="0" borderId="2" xfId="0" applyNumberFormat="1" applyFont="1" applyBorder="1" applyAlignment="1">
      <alignment horizontal="center"/>
    </xf>
    <xf numFmtId="2" fontId="38" fillId="2" borderId="2" xfId="0" applyNumberFormat="1" applyFont="1" applyFill="1" applyBorder="1" applyAlignment="1">
      <alignment horizontal="center"/>
    </xf>
    <xf numFmtId="0" fontId="37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2" fontId="12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32" fillId="0" borderId="4" xfId="0" applyFont="1" applyBorder="1" applyAlignment="1">
      <alignment vertical="top"/>
    </xf>
    <xf numFmtId="2" fontId="10" fillId="0" borderId="4" xfId="0" applyNumberFormat="1" applyFont="1" applyBorder="1" applyAlignment="1">
      <alignment horizontal="center" vertical="top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/>
    <xf numFmtId="0" fontId="30" fillId="0" borderId="2" xfId="0" applyFont="1" applyBorder="1" applyAlignment="1">
      <alignment horizontal="center"/>
    </xf>
    <xf numFmtId="2" fontId="40" fillId="0" borderId="2" xfId="0" applyNumberFormat="1" applyFont="1" applyBorder="1" applyAlignment="1">
      <alignment horizontal="center"/>
    </xf>
    <xf numFmtId="2" fontId="40" fillId="2" borderId="2" xfId="0" applyNumberFormat="1" applyFont="1" applyFill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6" fillId="0" borderId="2" xfId="0" applyFont="1" applyBorder="1" applyAlignment="1">
      <alignment shrinkToFit="1"/>
    </xf>
    <xf numFmtId="0" fontId="42" fillId="0" borderId="2" xfId="0" applyFont="1" applyBorder="1"/>
    <xf numFmtId="0" fontId="43" fillId="0" borderId="2" xfId="0" applyFont="1" applyBorder="1" applyAlignment="1">
      <alignment horizontal="right"/>
    </xf>
    <xf numFmtId="2" fontId="44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wrapText="1"/>
    </xf>
    <xf numFmtId="0" fontId="45" fillId="0" borderId="2" xfId="0" applyFont="1" applyBorder="1"/>
    <xf numFmtId="2" fontId="46" fillId="0" borderId="2" xfId="0" applyNumberFormat="1" applyFont="1" applyBorder="1" applyAlignment="1">
      <alignment horizontal="center"/>
    </xf>
    <xf numFmtId="2" fontId="46" fillId="2" borderId="2" xfId="0" applyNumberFormat="1" applyFont="1" applyFill="1" applyBorder="1" applyAlignment="1">
      <alignment horizontal="center"/>
    </xf>
    <xf numFmtId="0" fontId="40" fillId="0" borderId="2" xfId="0" applyFont="1" applyBorder="1" applyAlignment="1">
      <alignment horizontal="right"/>
    </xf>
    <xf numFmtId="0" fontId="31" fillId="0" borderId="2" xfId="0" applyFont="1" applyBorder="1" applyAlignment="1">
      <alignment horizontal="center"/>
    </xf>
    <xf numFmtId="0" fontId="47" fillId="0" borderId="2" xfId="0" applyFont="1" applyBorder="1"/>
    <xf numFmtId="2" fontId="47" fillId="0" borderId="2" xfId="0" applyNumberFormat="1" applyFont="1" applyBorder="1" applyAlignment="1">
      <alignment horizontal="center"/>
    </xf>
    <xf numFmtId="2" fontId="48" fillId="0" borderId="2" xfId="0" applyNumberFormat="1" applyFont="1" applyBorder="1" applyAlignment="1">
      <alignment horizontal="center"/>
    </xf>
    <xf numFmtId="0" fontId="49" fillId="0" borderId="2" xfId="0" applyFont="1" applyBorder="1"/>
    <xf numFmtId="2" fontId="49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32" fillId="0" borderId="2" xfId="0" applyFont="1" applyBorder="1" applyAlignment="1">
      <alignment wrapText="1"/>
    </xf>
    <xf numFmtId="0" fontId="50" fillId="0" borderId="2" xfId="0" applyFont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2" fontId="17" fillId="0" borderId="2" xfId="0" applyNumberFormat="1" applyFont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2" fontId="51" fillId="2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31" fillId="0" borderId="2" xfId="0" applyFont="1" applyBorder="1" applyAlignment="1">
      <alignment horizontal="left" wrapText="1"/>
    </xf>
    <xf numFmtId="0" fontId="49" fillId="0" borderId="2" xfId="0" applyFont="1" applyBorder="1" applyAlignment="1">
      <alignment wrapText="1"/>
    </xf>
    <xf numFmtId="2" fontId="49" fillId="2" borderId="2" xfId="0" applyNumberFormat="1" applyFont="1" applyFill="1" applyBorder="1" applyAlignment="1">
      <alignment horizontal="center"/>
    </xf>
    <xf numFmtId="2" fontId="52" fillId="0" borderId="2" xfId="0" applyNumberFormat="1" applyFont="1" applyBorder="1" applyAlignment="1">
      <alignment horizontal="center"/>
    </xf>
    <xf numFmtId="2" fontId="52" fillId="2" borderId="2" xfId="0" applyNumberFormat="1" applyFont="1" applyFill="1" applyBorder="1" applyAlignment="1">
      <alignment horizontal="center"/>
    </xf>
    <xf numFmtId="0" fontId="49" fillId="0" borderId="2" xfId="0" applyFont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30" fillId="0" borderId="2" xfId="0" applyFont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0" fontId="15" fillId="0" borderId="2" xfId="0" applyFont="1" applyBorder="1"/>
    <xf numFmtId="2" fontId="28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2" fontId="54" fillId="0" borderId="2" xfId="0" applyNumberFormat="1" applyFont="1" applyBorder="1" applyAlignment="1">
      <alignment horizontal="center"/>
    </xf>
    <xf numFmtId="2" fontId="54" fillId="2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55" fillId="0" borderId="2" xfId="0" applyFont="1" applyBorder="1" applyAlignment="1">
      <alignment horizontal="right"/>
    </xf>
    <xf numFmtId="2" fontId="56" fillId="0" borderId="2" xfId="0" applyNumberFormat="1" applyFont="1" applyBorder="1" applyAlignment="1">
      <alignment horizontal="center"/>
    </xf>
    <xf numFmtId="2" fontId="56" fillId="2" borderId="2" xfId="0" applyNumberFormat="1" applyFont="1" applyFill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44" fillId="0" borderId="2" xfId="0" applyFont="1" applyBorder="1"/>
    <xf numFmtId="0" fontId="44" fillId="0" borderId="2" xfId="0" applyFont="1" applyBorder="1" applyAlignment="1">
      <alignment horizontal="left"/>
    </xf>
    <xf numFmtId="2" fontId="44" fillId="2" borderId="2" xfId="0" applyNumberFormat="1" applyFont="1" applyFill="1" applyBorder="1" applyAlignment="1">
      <alignment horizontal="center"/>
    </xf>
    <xf numFmtId="0" fontId="57" fillId="0" borderId="2" xfId="0" applyFont="1" applyBorder="1" applyAlignment="1">
      <alignment horizontal="left" wrapText="1"/>
    </xf>
    <xf numFmtId="2" fontId="58" fillId="0" borderId="2" xfId="0" applyNumberFormat="1" applyFont="1" applyBorder="1" applyAlignment="1">
      <alignment horizontal="center"/>
    </xf>
    <xf numFmtId="2" fontId="58" fillId="2" borderId="2" xfId="0" applyNumberFormat="1" applyFont="1" applyFill="1" applyBorder="1" applyAlignment="1">
      <alignment horizontal="center"/>
    </xf>
    <xf numFmtId="0" fontId="59" fillId="0" borderId="2" xfId="0" applyFont="1" applyBorder="1"/>
    <xf numFmtId="2" fontId="60" fillId="0" borderId="2" xfId="0" applyNumberFormat="1" applyFont="1" applyBorder="1" applyAlignment="1">
      <alignment horizontal="center"/>
    </xf>
    <xf numFmtId="2" fontId="60" fillId="2" borderId="2" xfId="0" applyNumberFormat="1" applyFont="1" applyFill="1" applyBorder="1" applyAlignment="1">
      <alignment horizontal="center"/>
    </xf>
    <xf numFmtId="0" fontId="57" fillId="0" borderId="2" xfId="0" applyFont="1" applyBorder="1"/>
    <xf numFmtId="2" fontId="57" fillId="0" borderId="2" xfId="0" applyNumberFormat="1" applyFont="1" applyBorder="1" applyAlignment="1">
      <alignment horizontal="center"/>
    </xf>
    <xf numFmtId="2" fontId="57" fillId="2" borderId="2" xfId="0" applyNumberFormat="1" applyFont="1" applyFill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2" xfId="0" applyFont="1" applyBorder="1" applyAlignment="1">
      <alignment wrapText="1"/>
    </xf>
    <xf numFmtId="2" fontId="62" fillId="0" borderId="2" xfId="0" applyNumberFormat="1" applyFont="1" applyBorder="1" applyAlignment="1">
      <alignment horizontal="center"/>
    </xf>
    <xf numFmtId="2" fontId="62" fillId="2" borderId="2" xfId="0" applyNumberFormat="1" applyFont="1" applyFill="1" applyBorder="1" applyAlignment="1">
      <alignment horizontal="center"/>
    </xf>
    <xf numFmtId="0" fontId="63" fillId="0" borderId="2" xfId="0" applyFont="1" applyBorder="1" applyAlignment="1">
      <alignment wrapText="1"/>
    </xf>
    <xf numFmtId="2" fontId="64" fillId="0" borderId="2" xfId="0" applyNumberFormat="1" applyFont="1" applyBorder="1" applyAlignment="1">
      <alignment horizontal="center"/>
    </xf>
    <xf numFmtId="2" fontId="64" fillId="2" borderId="2" xfId="0" applyNumberFormat="1" applyFont="1" applyFill="1" applyBorder="1" applyAlignment="1">
      <alignment horizontal="center"/>
    </xf>
    <xf numFmtId="0" fontId="62" fillId="0" borderId="2" xfId="0" applyFont="1" applyBorder="1" applyAlignment="1">
      <alignment horizontal="right"/>
    </xf>
    <xf numFmtId="0" fontId="62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 wrapText="1"/>
    </xf>
    <xf numFmtId="2" fontId="25" fillId="0" borderId="2" xfId="0" applyNumberFormat="1" applyFont="1" applyBorder="1"/>
    <xf numFmtId="0" fontId="44" fillId="0" borderId="2" xfId="0" applyFont="1" applyBorder="1" applyAlignment="1">
      <alignment wrapText="1"/>
    </xf>
    <xf numFmtId="2" fontId="65" fillId="0" borderId="2" xfId="0" applyNumberFormat="1" applyFont="1" applyBorder="1" applyAlignment="1">
      <alignment horizontal="center"/>
    </xf>
    <xf numFmtId="2" fontId="65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2" fontId="47" fillId="2" borderId="2" xfId="0" applyNumberFormat="1" applyFont="1" applyFill="1" applyBorder="1" applyAlignment="1">
      <alignment horizontal="center"/>
    </xf>
    <xf numFmtId="0" fontId="40" fillId="0" borderId="2" xfId="0" applyFont="1" applyBorder="1" applyAlignment="1"/>
    <xf numFmtId="0" fontId="12" fillId="0" borderId="2" xfId="0" applyFont="1" applyBorder="1" applyAlignment="1"/>
    <xf numFmtId="0" fontId="66" fillId="0" borderId="2" xfId="0" applyFont="1" applyBorder="1" applyAlignment="1">
      <alignment horizontal="right"/>
    </xf>
    <xf numFmtId="2" fontId="66" fillId="0" borderId="2" xfId="0" applyNumberFormat="1" applyFont="1" applyBorder="1" applyAlignment="1">
      <alignment horizontal="center"/>
    </xf>
    <xf numFmtId="2" fontId="66" fillId="2" borderId="2" xfId="0" applyNumberFormat="1" applyFont="1" applyFill="1" applyBorder="1" applyAlignment="1">
      <alignment horizontal="center"/>
    </xf>
    <xf numFmtId="2" fontId="48" fillId="2" borderId="2" xfId="0" applyNumberFormat="1" applyFont="1" applyFill="1" applyBorder="1" applyAlignment="1">
      <alignment horizontal="center"/>
    </xf>
    <xf numFmtId="0" fontId="67" fillId="0" borderId="2" xfId="0" applyFont="1" applyBorder="1" applyAlignment="1">
      <alignment horizontal="center"/>
    </xf>
    <xf numFmtId="0" fontId="9" fillId="0" borderId="2" xfId="0" applyFont="1" applyBorder="1"/>
    <xf numFmtId="2" fontId="9" fillId="0" borderId="2" xfId="0" applyNumberFormat="1" applyFont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/>
    <xf numFmtId="2" fontId="9" fillId="2" borderId="2" xfId="0" applyNumberFormat="1" applyFont="1" applyFill="1" applyBorder="1"/>
    <xf numFmtId="0" fontId="68" fillId="0" borderId="2" xfId="0" applyFont="1" applyBorder="1" applyAlignment="1">
      <alignment horizontal="left"/>
    </xf>
    <xf numFmtId="2" fontId="69" fillId="0" borderId="2" xfId="0" applyNumberFormat="1" applyFont="1" applyBorder="1" applyAlignment="1">
      <alignment horizontal="center"/>
    </xf>
    <xf numFmtId="2" fontId="69" fillId="2" borderId="2" xfId="0" applyNumberFormat="1" applyFont="1" applyFill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2" fontId="12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2" fontId="12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2" fontId="12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2" fontId="15" fillId="0" borderId="2" xfId="0" applyNumberFormat="1" applyFont="1" applyBorder="1" applyAlignment="1">
      <alignment horizontal="center" vertical="top" wrapText="1"/>
    </xf>
    <xf numFmtId="2" fontId="15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vertical="top" wrapText="1"/>
    </xf>
    <xf numFmtId="2" fontId="32" fillId="0" borderId="2" xfId="0" applyNumberFormat="1" applyFont="1" applyBorder="1" applyAlignment="1">
      <alignment horizontal="center" vertical="top" wrapText="1"/>
    </xf>
    <xf numFmtId="2" fontId="32" fillId="2" borderId="2" xfId="0" applyNumberFormat="1" applyFont="1" applyFill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2" fontId="49" fillId="0" borderId="2" xfId="0" applyNumberFormat="1" applyFont="1" applyBorder="1" applyAlignment="1">
      <alignment horizontal="center" vertical="top" wrapText="1"/>
    </xf>
    <xf numFmtId="2" fontId="49" fillId="2" borderId="2" xfId="0" applyNumberFormat="1" applyFont="1" applyFill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2" fontId="38" fillId="0" borderId="2" xfId="0" applyNumberFormat="1" applyFont="1" applyBorder="1" applyAlignment="1">
      <alignment horizontal="center" vertical="top" wrapText="1"/>
    </xf>
    <xf numFmtId="2" fontId="38" fillId="2" borderId="2" xfId="0" applyNumberFormat="1" applyFont="1" applyFill="1" applyBorder="1" applyAlignment="1">
      <alignment horizontal="center" vertical="top" wrapText="1"/>
    </xf>
    <xf numFmtId="0" fontId="68" fillId="0" borderId="2" xfId="0" applyFont="1" applyBorder="1" applyAlignment="1">
      <alignment horizontal="center"/>
    </xf>
    <xf numFmtId="0" fontId="50" fillId="0" borderId="2" xfId="0" applyFont="1" applyBorder="1" applyAlignment="1">
      <alignment horizontal="left"/>
    </xf>
    <xf numFmtId="0" fontId="32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2" fontId="70" fillId="0" borderId="2" xfId="0" applyNumberFormat="1" applyFont="1" applyBorder="1" applyAlignment="1">
      <alignment horizontal="center"/>
    </xf>
    <xf numFmtId="2" fontId="70" fillId="2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wrapText="1"/>
    </xf>
    <xf numFmtId="2" fontId="12" fillId="2" borderId="2" xfId="0" applyNumberFormat="1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65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69" fillId="0" borderId="2" xfId="0" applyFont="1" applyBorder="1" applyAlignment="1">
      <alignment horizontal="left"/>
    </xf>
    <xf numFmtId="0" fontId="48" fillId="0" borderId="2" xfId="0" applyFont="1" applyBorder="1"/>
    <xf numFmtId="0" fontId="71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2" fontId="32" fillId="0" borderId="2" xfId="0" applyNumberFormat="1" applyFont="1" applyBorder="1" applyAlignment="1">
      <alignment horizontal="center" wrapText="1"/>
    </xf>
    <xf numFmtId="2" fontId="32" fillId="2" borderId="2" xfId="0" applyNumberFormat="1" applyFont="1" applyFill="1" applyBorder="1" applyAlignment="1">
      <alignment horizontal="center" wrapText="1"/>
    </xf>
    <xf numFmtId="0" fontId="35" fillId="0" borderId="2" xfId="0" applyFont="1" applyBorder="1" applyAlignment="1">
      <alignment wrapText="1"/>
    </xf>
    <xf numFmtId="0" fontId="28" fillId="0" borderId="2" xfId="0" applyFont="1" applyBorder="1"/>
    <xf numFmtId="0" fontId="73" fillId="0" borderId="2" xfId="0" applyFont="1" applyBorder="1" applyAlignment="1">
      <alignment horizontal="center"/>
    </xf>
    <xf numFmtId="2" fontId="74" fillId="0" borderId="2" xfId="0" applyNumberFormat="1" applyFont="1" applyBorder="1" applyAlignment="1">
      <alignment horizontal="center"/>
    </xf>
    <xf numFmtId="0" fontId="74" fillId="0" borderId="2" xfId="0" applyFont="1" applyBorder="1" applyAlignment="1">
      <alignment horizontal="center"/>
    </xf>
    <xf numFmtId="2" fontId="75" fillId="0" borderId="2" xfId="0" applyNumberFormat="1" applyFont="1" applyBorder="1" applyAlignment="1">
      <alignment horizontal="center"/>
    </xf>
    <xf numFmtId="0" fontId="74" fillId="0" borderId="2" xfId="0" applyFont="1" applyBorder="1" applyAlignment="1">
      <alignment horizontal="right"/>
    </xf>
    <xf numFmtId="0" fontId="37" fillId="0" borderId="2" xfId="0" applyFont="1" applyBorder="1" applyAlignment="1"/>
    <xf numFmtId="43" fontId="12" fillId="0" borderId="2" xfId="1" applyFont="1" applyBorder="1" applyAlignment="1" applyProtection="1"/>
    <xf numFmtId="0" fontId="47" fillId="0" borderId="2" xfId="0" applyFont="1" applyBorder="1" applyAlignment="1">
      <alignment wrapText="1"/>
    </xf>
    <xf numFmtId="0" fontId="72" fillId="0" borderId="2" xfId="0" applyFont="1" applyBorder="1" applyAlignment="1">
      <alignment horizontal="left"/>
    </xf>
    <xf numFmtId="0" fontId="69" fillId="0" borderId="2" xfId="0" applyFont="1" applyBorder="1" applyAlignment="1">
      <alignment horizontal="right"/>
    </xf>
    <xf numFmtId="0" fontId="6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2" fillId="2" borderId="2" xfId="0" applyFont="1" applyFill="1" applyBorder="1" applyAlignment="1"/>
    <xf numFmtId="0" fontId="35" fillId="0" borderId="2" xfId="0" applyFont="1" applyBorder="1"/>
    <xf numFmtId="0" fontId="65" fillId="0" borderId="2" xfId="0" applyFont="1" applyBorder="1"/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1" fillId="0" borderId="2" xfId="0" applyFont="1" applyBorder="1"/>
    <xf numFmtId="0" fontId="32" fillId="0" borderId="2" xfId="0" applyFont="1" applyBorder="1" applyAlignment="1">
      <alignment horizontal="left" wrapText="1"/>
    </xf>
    <xf numFmtId="0" fontId="15" fillId="2" borderId="2" xfId="0" applyFont="1" applyFill="1" applyBorder="1"/>
    <xf numFmtId="2" fontId="76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77" fillId="0" borderId="2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28" fillId="2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49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49" fillId="0" borderId="2" xfId="0" applyFont="1" applyBorder="1" applyAlignment="1">
      <alignment horizontal="left"/>
    </xf>
    <xf numFmtId="0" fontId="49" fillId="0" borderId="2" xfId="0" applyFont="1" applyBorder="1" applyAlignment="1"/>
    <xf numFmtId="0" fontId="18" fillId="0" borderId="2" xfId="0" applyFont="1" applyBorder="1" applyAlignment="1">
      <alignment horizontal="left"/>
    </xf>
    <xf numFmtId="0" fontId="6" fillId="0" borderId="1" xfId="0" applyFont="1" applyBorder="1"/>
    <xf numFmtId="2" fontId="5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79" fillId="0" borderId="2" xfId="0" applyFont="1" applyBorder="1" applyAlignment="1">
      <alignment horizontal="center"/>
    </xf>
    <xf numFmtId="0" fontId="47" fillId="0" borderId="2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2" fontId="49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0" fillId="0" borderId="0" xfId="0" applyFo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82" fillId="0" borderId="2" xfId="0" applyFont="1" applyBorder="1"/>
    <xf numFmtId="0" fontId="82" fillId="0" borderId="2" xfId="0" applyFont="1" applyBorder="1" applyAlignment="1">
      <alignment wrapText="1"/>
    </xf>
    <xf numFmtId="0" fontId="82" fillId="0" borderId="2" xfId="0" applyFont="1" applyBorder="1" applyAlignment="1">
      <alignment horizontal="center"/>
    </xf>
    <xf numFmtId="0" fontId="83" fillId="0" borderId="0" xfId="0" applyFont="1"/>
    <xf numFmtId="0" fontId="25" fillId="0" borderId="0" xfId="0" applyFont="1" applyAlignment="1"/>
    <xf numFmtId="0" fontId="6" fillId="0" borderId="5" xfId="0" applyFont="1" applyBorder="1"/>
    <xf numFmtId="2" fontId="6" fillId="0" borderId="2" xfId="0" applyNumberFormat="1" applyFont="1" applyFill="1" applyBorder="1" applyAlignment="1">
      <alignment horizontal="center" wrapText="1"/>
    </xf>
    <xf numFmtId="2" fontId="31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vertical="top"/>
    </xf>
    <xf numFmtId="0" fontId="0" fillId="0" borderId="0" xfId="0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31" fillId="3" borderId="2" xfId="0" applyFont="1" applyFill="1" applyBorder="1"/>
    <xf numFmtId="0" fontId="0" fillId="3" borderId="0" xfId="0" applyFill="1"/>
    <xf numFmtId="0" fontId="31" fillId="3" borderId="2" xfId="0" applyFont="1" applyFill="1" applyBorder="1" applyAlignment="1">
      <alignment wrapText="1" shrinkToFit="1"/>
    </xf>
    <xf numFmtId="2" fontId="6" fillId="3" borderId="2" xfId="0" applyNumberFormat="1" applyFont="1" applyFill="1" applyBorder="1" applyAlignment="1">
      <alignment horizontal="center" wrapText="1"/>
    </xf>
    <xf numFmtId="0" fontId="31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1" fillId="0" borderId="2" xfId="0" applyFont="1" applyBorder="1" applyAlignment="1">
      <alignment vertical="top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0" fillId="4" borderId="0" xfId="0" applyFill="1"/>
    <xf numFmtId="0" fontId="6" fillId="0" borderId="2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wrapText="1"/>
    </xf>
    <xf numFmtId="0" fontId="82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2" fillId="3" borderId="2" xfId="0" applyFont="1" applyFill="1" applyBorder="1"/>
    <xf numFmtId="2" fontId="29" fillId="3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/>
    </xf>
    <xf numFmtId="0" fontId="3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31" fillId="3" borderId="2" xfId="0" applyFont="1" applyFill="1" applyBorder="1" applyAlignment="1">
      <alignment horizontal="left" wrapText="1"/>
    </xf>
    <xf numFmtId="0" fontId="71" fillId="3" borderId="2" xfId="0" applyFont="1" applyFill="1" applyBorder="1" applyAlignment="1">
      <alignment horizontal="center"/>
    </xf>
    <xf numFmtId="0" fontId="72" fillId="3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35" fillId="3" borderId="2" xfId="0" applyFont="1" applyFill="1" applyBorder="1" applyAlignment="1">
      <alignment wrapText="1"/>
    </xf>
    <xf numFmtId="0" fontId="68" fillId="3" borderId="2" xfId="0" applyFont="1" applyFill="1" applyBorder="1" applyAlignment="1">
      <alignment horizontal="center"/>
    </xf>
    <xf numFmtId="0" fontId="50" fillId="3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center"/>
    </xf>
    <xf numFmtId="0" fontId="82" fillId="0" borderId="0" xfId="0" applyFont="1"/>
    <xf numFmtId="0" fontId="82" fillId="0" borderId="0" xfId="0" applyFont="1" applyAlignment="1"/>
    <xf numFmtId="0" fontId="6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68" fillId="3" borderId="2" xfId="0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left"/>
    </xf>
    <xf numFmtId="2" fontId="12" fillId="3" borderId="2" xfId="0" applyNumberFormat="1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left"/>
    </xf>
    <xf numFmtId="0" fontId="12" fillId="3" borderId="2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wrapText="1"/>
    </xf>
    <xf numFmtId="0" fontId="72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35" fillId="3" borderId="2" xfId="0" applyFont="1" applyFill="1" applyBorder="1"/>
    <xf numFmtId="0" fontId="65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2" fillId="3" borderId="2" xfId="0" applyFont="1" applyFill="1" applyBorder="1"/>
    <xf numFmtId="0" fontId="0" fillId="0" borderId="8" xfId="0" applyBorder="1"/>
    <xf numFmtId="2" fontId="6" fillId="0" borderId="8" xfId="0" applyNumberFormat="1" applyFont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wrapText="1"/>
    </xf>
    <xf numFmtId="2" fontId="6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82" fillId="0" borderId="0" xfId="0" applyFont="1" applyBorder="1" applyAlignment="1">
      <alignment wrapText="1"/>
    </xf>
    <xf numFmtId="2" fontId="6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2" fontId="82" fillId="0" borderId="2" xfId="0" applyNumberFormat="1" applyFont="1" applyBorder="1" applyAlignment="1">
      <alignment horizontal="left" wrapText="1"/>
    </xf>
    <xf numFmtId="2" fontId="82" fillId="5" borderId="2" xfId="0" applyNumberFormat="1" applyFont="1" applyFill="1" applyBorder="1" applyAlignment="1">
      <alignment horizontal="left" wrapText="1"/>
    </xf>
    <xf numFmtId="2" fontId="82" fillId="4" borderId="2" xfId="0" applyNumberFormat="1" applyFont="1" applyFill="1" applyBorder="1" applyAlignment="1">
      <alignment horizontal="left" wrapText="1"/>
    </xf>
    <xf numFmtId="2" fontId="82" fillId="0" borderId="2" xfId="0" applyNumberFormat="1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83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0" fontId="83" fillId="0" borderId="2" xfId="0" applyFont="1" applyBorder="1" applyAlignment="1">
      <alignment horizontal="left" wrapText="1"/>
    </xf>
    <xf numFmtId="0" fontId="83" fillId="3" borderId="2" xfId="0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horizontal="left" wrapText="1"/>
    </xf>
    <xf numFmtId="2" fontId="82" fillId="3" borderId="2" xfId="0" applyNumberFormat="1" applyFont="1" applyFill="1" applyBorder="1" applyAlignment="1">
      <alignment horizontal="left" wrapText="1"/>
    </xf>
    <xf numFmtId="2" fontId="6" fillId="4" borderId="2" xfId="0" applyNumberFormat="1" applyFont="1" applyFill="1" applyBorder="1" applyAlignment="1">
      <alignment horizontal="left" wrapText="1"/>
    </xf>
    <xf numFmtId="0" fontId="82" fillId="4" borderId="2" xfId="0" applyFont="1" applyFill="1" applyBorder="1" applyAlignment="1">
      <alignment horizontal="left" wrapText="1"/>
    </xf>
    <xf numFmtId="2" fontId="83" fillId="0" borderId="2" xfId="0" applyNumberFormat="1" applyFont="1" applyBorder="1" applyAlignment="1">
      <alignment horizontal="left" wrapText="1"/>
    </xf>
    <xf numFmtId="2" fontId="85" fillId="0" borderId="2" xfId="0" applyNumberFormat="1" applyFont="1" applyBorder="1" applyAlignment="1">
      <alignment horizontal="left" wrapText="1"/>
    </xf>
    <xf numFmtId="0" fontId="83" fillId="4" borderId="2" xfId="0" applyFont="1" applyFill="1" applyBorder="1" applyAlignment="1">
      <alignment horizontal="left" wrapText="1"/>
    </xf>
    <xf numFmtId="2" fontId="82" fillId="3" borderId="5" xfId="0" applyNumberFormat="1" applyFont="1" applyFill="1" applyBorder="1" applyAlignment="1">
      <alignment horizontal="left" wrapText="1"/>
    </xf>
    <xf numFmtId="0" fontId="83" fillId="0" borderId="5" xfId="0" applyFont="1" applyBorder="1" applyAlignment="1">
      <alignment horizontal="left" wrapText="1"/>
    </xf>
    <xf numFmtId="0" fontId="82" fillId="0" borderId="2" xfId="0" applyFont="1" applyBorder="1" applyAlignment="1">
      <alignment horizontal="left" wrapText="1"/>
    </xf>
    <xf numFmtId="2" fontId="83" fillId="3" borderId="2" xfId="0" applyNumberFormat="1" applyFont="1" applyFill="1" applyBorder="1" applyAlignment="1">
      <alignment horizontal="left" wrapText="1"/>
    </xf>
    <xf numFmtId="0" fontId="83" fillId="3" borderId="0" xfId="0" applyFont="1" applyFill="1" applyAlignment="1">
      <alignment horizontal="left" wrapText="1"/>
    </xf>
    <xf numFmtId="2" fontId="32" fillId="0" borderId="2" xfId="0" applyNumberFormat="1" applyFont="1" applyBorder="1" applyAlignment="1">
      <alignment horizontal="left" wrapText="1"/>
    </xf>
    <xf numFmtId="2" fontId="20" fillId="0" borderId="2" xfId="0" applyNumberFormat="1" applyFont="1" applyBorder="1" applyAlignment="1">
      <alignment horizontal="left" wrapText="1"/>
    </xf>
    <xf numFmtId="0" fontId="82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left" wrapText="1"/>
    </xf>
    <xf numFmtId="2" fontId="31" fillId="0" borderId="2" xfId="0" applyNumberFormat="1" applyFont="1" applyBorder="1" applyAlignment="1">
      <alignment horizontal="left" wrapText="1"/>
    </xf>
    <xf numFmtId="2" fontId="31" fillId="0" borderId="2" xfId="0" applyNumberFormat="1" applyFont="1" applyFill="1" applyBorder="1" applyAlignment="1">
      <alignment horizontal="left" wrapText="1"/>
    </xf>
    <xf numFmtId="2" fontId="6" fillId="0" borderId="0" xfId="0" applyNumberFormat="1" applyFont="1" applyAlignment="1">
      <alignment horizontal="center" wrapText="1"/>
    </xf>
    <xf numFmtId="2" fontId="35" fillId="0" borderId="2" xfId="0" applyNumberFormat="1" applyFont="1" applyBorder="1" applyAlignment="1">
      <alignment horizontal="center" wrapText="1"/>
    </xf>
    <xf numFmtId="2" fontId="1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15" fillId="3" borderId="2" xfId="0" applyNumberFormat="1" applyFont="1" applyFill="1" applyBorder="1" applyAlignment="1">
      <alignment horizontal="center" wrapText="1"/>
    </xf>
    <xf numFmtId="2" fontId="44" fillId="0" borderId="2" xfId="0" applyNumberFormat="1" applyFont="1" applyBorder="1" applyAlignment="1">
      <alignment horizontal="center" wrapText="1"/>
    </xf>
    <xf numFmtId="2" fontId="49" fillId="0" borderId="2" xfId="0" applyNumberFormat="1" applyFont="1" applyBorder="1" applyAlignment="1">
      <alignment horizontal="center" wrapText="1"/>
    </xf>
    <xf numFmtId="2" fontId="69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2" fontId="31" fillId="3" borderId="2" xfId="0" applyNumberFormat="1" applyFont="1" applyFill="1" applyBorder="1" applyAlignment="1">
      <alignment horizontal="center" wrapText="1"/>
    </xf>
    <xf numFmtId="2" fontId="32" fillId="3" borderId="2" xfId="0" applyNumberFormat="1" applyFont="1" applyFill="1" applyBorder="1" applyAlignment="1">
      <alignment horizontal="center" wrapText="1"/>
    </xf>
    <xf numFmtId="2" fontId="16" fillId="3" borderId="2" xfId="0" applyNumberFormat="1" applyFont="1" applyFill="1" applyBorder="1" applyAlignment="1">
      <alignment horizontal="center" wrapText="1"/>
    </xf>
    <xf numFmtId="2" fontId="69" fillId="0" borderId="2" xfId="0" applyNumberFormat="1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82" fillId="0" borderId="2" xfId="0" applyFont="1" applyBorder="1" applyAlignment="1">
      <alignment horizontal="center" vertical="center" wrapText="1"/>
    </xf>
    <xf numFmtId="2" fontId="82" fillId="0" borderId="2" xfId="0" applyNumberFormat="1" applyFont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wrapText="1"/>
    </xf>
    <xf numFmtId="2" fontId="28" fillId="0" borderId="2" xfId="0" applyNumberFormat="1" applyFont="1" applyBorder="1" applyAlignment="1">
      <alignment horizontal="center" wrapText="1"/>
    </xf>
    <xf numFmtId="2" fontId="31" fillId="0" borderId="2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2" fontId="25" fillId="0" borderId="2" xfId="0" applyNumberFormat="1" applyFont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2" fontId="6" fillId="5" borderId="2" xfId="0" applyNumberFormat="1" applyFont="1" applyFill="1" applyBorder="1" applyAlignment="1">
      <alignment horizontal="left" wrapText="1"/>
    </xf>
    <xf numFmtId="2" fontId="6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31" fillId="3" borderId="2" xfId="0" applyFont="1" applyFill="1" applyBorder="1" applyAlignment="1">
      <alignment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82" fillId="3" borderId="2" xfId="0" applyFont="1" applyFill="1" applyBorder="1"/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2" xfId="0" applyFont="1" applyFill="1" applyBorder="1" applyAlignment="1">
      <alignment shrinkToFit="1"/>
    </xf>
    <xf numFmtId="0" fontId="12" fillId="5" borderId="2" xfId="0" applyFont="1" applyFill="1" applyBorder="1" applyAlignment="1">
      <alignment horizontal="center"/>
    </xf>
    <xf numFmtId="2" fontId="44" fillId="3" borderId="2" xfId="0" applyNumberFormat="1" applyFont="1" applyFill="1" applyBorder="1" applyAlignment="1">
      <alignment horizontal="center" wrapText="1"/>
    </xf>
    <xf numFmtId="0" fontId="57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3" xfId="0" applyFont="1" applyFill="1" applyBorder="1" applyAlignment="1"/>
    <xf numFmtId="0" fontId="5" fillId="3" borderId="6" xfId="0" applyFont="1" applyFill="1" applyBorder="1" applyAlignment="1"/>
    <xf numFmtId="0" fontId="6" fillId="3" borderId="2" xfId="0" applyFont="1" applyFill="1" applyBorder="1" applyAlignment="1">
      <alignment horizontal="center" wrapText="1"/>
    </xf>
    <xf numFmtId="0" fontId="12" fillId="3" borderId="0" xfId="0" applyFont="1" applyFill="1"/>
    <xf numFmtId="0" fontId="2" fillId="3" borderId="2" xfId="0" applyFont="1" applyFill="1" applyBorder="1" applyAlignment="1"/>
    <xf numFmtId="2" fontId="2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/>
    <xf numFmtId="0" fontId="3" fillId="3" borderId="2" xfId="0" applyFont="1" applyFill="1" applyBorder="1" applyAlignment="1">
      <alignment horizontal="center" wrapText="1"/>
    </xf>
    <xf numFmtId="2" fontId="82" fillId="3" borderId="2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82" fillId="3" borderId="2" xfId="0" applyFont="1" applyFill="1" applyBorder="1" applyAlignment="1">
      <alignment horizontal="center" wrapText="1"/>
    </xf>
    <xf numFmtId="0" fontId="82" fillId="3" borderId="5" xfId="0" applyFont="1" applyFill="1" applyBorder="1" applyAlignment="1">
      <alignment horizontal="left" wrapText="1"/>
    </xf>
    <xf numFmtId="0" fontId="83" fillId="3" borderId="5" xfId="0" applyFont="1" applyFill="1" applyBorder="1" applyAlignment="1">
      <alignment horizontal="left" wrapText="1"/>
    </xf>
    <xf numFmtId="0" fontId="82" fillId="3" borderId="2" xfId="0" applyFont="1" applyFill="1" applyBorder="1" applyAlignment="1">
      <alignment horizontal="center" vertical="center" wrapText="1"/>
    </xf>
    <xf numFmtId="2" fontId="28" fillId="3" borderId="2" xfId="0" applyNumberFormat="1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left"/>
    </xf>
    <xf numFmtId="2" fontId="31" fillId="3" borderId="2" xfId="0" applyNumberFormat="1" applyFont="1" applyFill="1" applyBorder="1" applyAlignment="1">
      <alignment horizontal="center" vertical="top" wrapText="1"/>
    </xf>
    <xf numFmtId="2" fontId="6" fillId="3" borderId="6" xfId="0" applyNumberFormat="1" applyFont="1" applyFill="1" applyBorder="1" applyAlignment="1">
      <alignment horizontal="center" wrapText="1"/>
    </xf>
    <xf numFmtId="0" fontId="6" fillId="3" borderId="1" xfId="0" applyFont="1" applyFill="1" applyBorder="1"/>
    <xf numFmtId="0" fontId="32" fillId="3" borderId="2" xfId="0" applyFont="1" applyFill="1" applyBorder="1"/>
    <xf numFmtId="0" fontId="18" fillId="3" borderId="2" xfId="0" applyFont="1" applyFill="1" applyBorder="1" applyAlignment="1">
      <alignment horizontal="center"/>
    </xf>
    <xf numFmtId="2" fontId="35" fillId="3" borderId="2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vertical="top"/>
    </xf>
    <xf numFmtId="0" fontId="82" fillId="3" borderId="2" xfId="0" applyFont="1" applyFill="1" applyBorder="1" applyAlignment="1">
      <alignment horizontal="center"/>
    </xf>
    <xf numFmtId="0" fontId="82" fillId="3" borderId="2" xfId="0" applyFont="1" applyFill="1" applyBorder="1" applyAlignment="1">
      <alignment wrapText="1"/>
    </xf>
    <xf numFmtId="0" fontId="30" fillId="3" borderId="5" xfId="0" applyFont="1" applyFill="1" applyBorder="1" applyAlignment="1">
      <alignment wrapText="1"/>
    </xf>
    <xf numFmtId="0" fontId="30" fillId="3" borderId="6" xfId="0" applyFont="1" applyFill="1" applyBorder="1" applyAlignment="1">
      <alignment wrapText="1"/>
    </xf>
    <xf numFmtId="0" fontId="61" fillId="3" borderId="2" xfId="0" applyFont="1" applyFill="1" applyBorder="1" applyAlignment="1">
      <alignment horizontal="center"/>
    </xf>
    <xf numFmtId="0" fontId="5" fillId="3" borderId="2" xfId="0" applyFont="1" applyFill="1" applyBorder="1" applyAlignment="1"/>
    <xf numFmtId="2" fontId="25" fillId="3" borderId="2" xfId="0" applyNumberFormat="1" applyFont="1" applyFill="1" applyBorder="1" applyAlignment="1">
      <alignment horizontal="center" wrapText="1"/>
    </xf>
    <xf numFmtId="2" fontId="82" fillId="3" borderId="2" xfId="0" applyNumberFormat="1" applyFont="1" applyFill="1" applyBorder="1" applyAlignment="1">
      <alignment horizontal="center" vertical="top" wrapText="1"/>
    </xf>
    <xf numFmtId="2" fontId="32" fillId="3" borderId="7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67" fillId="3" borderId="2" xfId="0" applyFont="1" applyFill="1" applyBorder="1" applyAlignment="1">
      <alignment horizontal="center"/>
    </xf>
    <xf numFmtId="0" fontId="77" fillId="3" borderId="2" xfId="0" applyFont="1" applyFill="1" applyBorder="1" applyAlignment="1">
      <alignment horizontal="center"/>
    </xf>
    <xf numFmtId="0" fontId="7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5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8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/>
    <xf numFmtId="2" fontId="37" fillId="3" borderId="2" xfId="0" applyNumberFormat="1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50" fillId="3" borderId="2" xfId="0" applyFont="1" applyFill="1" applyBorder="1" applyAlignment="1">
      <alignment horizontal="center" wrapText="1"/>
    </xf>
    <xf numFmtId="0" fontId="0" fillId="3" borderId="2" xfId="0" applyFill="1" applyBorder="1"/>
    <xf numFmtId="0" fontId="83" fillId="3" borderId="0" xfId="0" applyFont="1" applyFill="1" applyAlignment="1">
      <alignment horizontal="center"/>
    </xf>
    <xf numFmtId="2" fontId="71" fillId="3" borderId="2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12" fillId="3" borderId="6" xfId="0" applyFont="1" applyFill="1" applyBorder="1"/>
    <xf numFmtId="2" fontId="6" fillId="3" borderId="2" xfId="0" applyNumberFormat="1" applyFont="1" applyFill="1" applyBorder="1" applyAlignment="1">
      <alignment horizontal="center" vertical="center"/>
    </xf>
    <xf numFmtId="0" fontId="86" fillId="3" borderId="2" xfId="0" applyFont="1" applyFill="1" applyBorder="1"/>
    <xf numFmtId="0" fontId="50" fillId="3" borderId="2" xfId="0" applyFont="1" applyFill="1" applyBorder="1"/>
    <xf numFmtId="2" fontId="5" fillId="3" borderId="2" xfId="0" applyNumberFormat="1" applyFont="1" applyFill="1" applyBorder="1" applyAlignment="1">
      <alignment horizontal="center" wrapText="1"/>
    </xf>
    <xf numFmtId="0" fontId="82" fillId="3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wrapText="1"/>
    </xf>
    <xf numFmtId="0" fontId="81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6" fillId="3" borderId="4" xfId="0" applyFont="1" applyFill="1" applyBorder="1" applyAlignment="1"/>
    <xf numFmtId="0" fontId="0" fillId="0" borderId="1" xfId="0" applyBorder="1" applyAlignment="1"/>
    <xf numFmtId="0" fontId="0" fillId="0" borderId="7" xfId="0" applyBorder="1" applyAlignment="1"/>
    <xf numFmtId="2" fontId="6" fillId="3" borderId="5" xfId="0" applyNumberFormat="1" applyFont="1" applyFill="1" applyBorder="1" applyAlignment="1">
      <alignment horizontal="left" wrapText="1"/>
    </xf>
    <xf numFmtId="2" fontId="6" fillId="3" borderId="5" xfId="0" applyNumberFormat="1" applyFont="1" applyFill="1" applyBorder="1" applyAlignment="1">
      <alignment horizontal="center" wrapText="1"/>
    </xf>
    <xf numFmtId="2" fontId="6" fillId="3" borderId="5" xfId="0" applyNumberFormat="1" applyFont="1" applyFill="1" applyBorder="1" applyAlignment="1">
      <alignment vertical="center"/>
    </xf>
    <xf numFmtId="0" fontId="31" fillId="3" borderId="5" xfId="0" applyFont="1" applyFill="1" applyBorder="1" applyAlignment="1">
      <alignment horizontal="left" wrapText="1"/>
    </xf>
    <xf numFmtId="2" fontId="6" fillId="3" borderId="5" xfId="0" applyNumberFormat="1" applyFont="1" applyFill="1" applyBorder="1" applyAlignment="1">
      <alignment horizontal="left"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2" fontId="83" fillId="3" borderId="5" xfId="0" applyNumberFormat="1" applyFont="1" applyFill="1" applyBorder="1" applyAlignment="1">
      <alignment horizontal="left" wrapText="1"/>
    </xf>
    <xf numFmtId="2" fontId="85" fillId="3" borderId="5" xfId="0" applyNumberFormat="1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2" fontId="82" fillId="3" borderId="5" xfId="0" applyNumberFormat="1" applyFont="1" applyFill="1" applyBorder="1" applyAlignment="1">
      <alignment horizontal="left" vertical="top" wrapText="1"/>
    </xf>
    <xf numFmtId="0" fontId="0" fillId="3" borderId="5" xfId="0" applyFill="1" applyBorder="1"/>
    <xf numFmtId="16" fontId="83" fillId="3" borderId="5" xfId="0" applyNumberFormat="1" applyFont="1" applyFill="1" applyBorder="1" applyAlignment="1">
      <alignment horizontal="left" wrapText="1"/>
    </xf>
    <xf numFmtId="2" fontId="32" fillId="3" borderId="5" xfId="0" applyNumberFormat="1" applyFont="1" applyFill="1" applyBorder="1" applyAlignment="1">
      <alignment horizontal="left" wrapText="1"/>
    </xf>
    <xf numFmtId="0" fontId="87" fillId="3" borderId="5" xfId="0" applyFont="1" applyFill="1" applyBorder="1" applyAlignment="1">
      <alignment horizontal="left" wrapText="1"/>
    </xf>
    <xf numFmtId="0" fontId="87" fillId="3" borderId="5" xfId="0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left" wrapText="1"/>
    </xf>
    <xf numFmtId="2" fontId="31" fillId="3" borderId="5" xfId="0" applyNumberFormat="1" applyFont="1" applyFill="1" applyBorder="1" applyAlignment="1">
      <alignment horizontal="left" wrapText="1"/>
    </xf>
    <xf numFmtId="0" fontId="83" fillId="3" borderId="5" xfId="0" applyFont="1" applyFill="1" applyBorder="1" applyAlignment="1">
      <alignment wrapText="1"/>
    </xf>
    <xf numFmtId="0" fontId="82" fillId="3" borderId="5" xfId="0" applyFont="1" applyFill="1" applyBorder="1" applyAlignment="1">
      <alignment horizontal="center" wrapText="1"/>
    </xf>
    <xf numFmtId="2" fontId="31" fillId="3" borderId="5" xfId="0" applyNumberFormat="1" applyFont="1" applyFill="1" applyBorder="1" applyAlignment="1">
      <alignment horizontal="center" wrapText="1"/>
    </xf>
    <xf numFmtId="0" fontId="83" fillId="5" borderId="5" xfId="0" applyFont="1" applyFill="1" applyBorder="1" applyAlignment="1">
      <alignment horizontal="left" wrapText="1"/>
    </xf>
    <xf numFmtId="2" fontId="6" fillId="3" borderId="9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83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0" fillId="5" borderId="0" xfId="0" applyFill="1" applyBorder="1"/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2" fillId="3" borderId="2" xfId="0" applyFont="1" applyFill="1" applyBorder="1"/>
    <xf numFmtId="0" fontId="42" fillId="5" borderId="2" xfId="0" applyFont="1" applyFill="1" applyBorder="1"/>
    <xf numFmtId="2" fontId="6" fillId="5" borderId="5" xfId="0" applyNumberFormat="1" applyFont="1" applyFill="1" applyBorder="1" applyAlignment="1">
      <alignment horizontal="center" wrapText="1"/>
    </xf>
    <xf numFmtId="2" fontId="82" fillId="5" borderId="2" xfId="0" applyNumberFormat="1" applyFont="1" applyFill="1" applyBorder="1" applyAlignment="1">
      <alignment horizontal="center" wrapText="1"/>
    </xf>
    <xf numFmtId="0" fontId="35" fillId="5" borderId="2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shrinkToFit="1"/>
    </xf>
    <xf numFmtId="2" fontId="82" fillId="5" borderId="5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2" fontId="6" fillId="5" borderId="2" xfId="0" applyNumberFormat="1" applyFont="1" applyFill="1" applyBorder="1" applyAlignment="1">
      <alignment horizontal="center" vertical="top" wrapText="1"/>
    </xf>
    <xf numFmtId="2" fontId="6" fillId="5" borderId="5" xfId="0" applyNumberFormat="1" applyFont="1" applyFill="1" applyBorder="1" applyAlignment="1">
      <alignment horizontal="left" vertical="top" wrapText="1"/>
    </xf>
    <xf numFmtId="2" fontId="6" fillId="5" borderId="5" xfId="0" applyNumberFormat="1" applyFont="1" applyFill="1" applyBorder="1" applyAlignment="1">
      <alignment horizontal="left" wrapText="1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0" fillId="5" borderId="0" xfId="0" applyFill="1" applyAlignment="1">
      <alignment horizontal="center" wrapText="1"/>
    </xf>
    <xf numFmtId="2" fontId="4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31" fillId="5" borderId="2" xfId="0" applyFont="1" applyFill="1" applyBorder="1" applyAlignment="1">
      <alignment horizontal="center"/>
    </xf>
    <xf numFmtId="0" fontId="31" fillId="5" borderId="2" xfId="0" applyFont="1" applyFill="1" applyBorder="1"/>
    <xf numFmtId="0" fontId="3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wrapText="1"/>
    </xf>
    <xf numFmtId="2" fontId="31" fillId="5" borderId="2" xfId="0" applyNumberFormat="1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wrapText="1"/>
    </xf>
    <xf numFmtId="0" fontId="31" fillId="5" borderId="2" xfId="0" applyFont="1" applyFill="1" applyBorder="1" applyAlignment="1">
      <alignment wrapText="1"/>
    </xf>
    <xf numFmtId="0" fontId="8" fillId="3" borderId="5" xfId="0" applyFont="1" applyFill="1" applyBorder="1" applyAlignment="1"/>
    <xf numFmtId="0" fontId="8" fillId="3" borderId="3" xfId="0" applyFont="1" applyFill="1" applyBorder="1" applyAlignment="1"/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vertical="top"/>
    </xf>
    <xf numFmtId="0" fontId="6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top"/>
    </xf>
    <xf numFmtId="0" fontId="0" fillId="3" borderId="2" xfId="0" applyFill="1" applyBorder="1" applyAlignment="1">
      <alignment vertical="center"/>
    </xf>
    <xf numFmtId="0" fontId="3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2" fontId="6" fillId="3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wrapText="1"/>
    </xf>
    <xf numFmtId="2" fontId="6" fillId="3" borderId="9" xfId="0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83" fillId="3" borderId="9" xfId="0" applyFont="1" applyFill="1" applyBorder="1" applyAlignment="1">
      <alignment wrapText="1"/>
    </xf>
    <xf numFmtId="0" fontId="0" fillId="0" borderId="8" xfId="0" applyBorder="1" applyAlignment="1">
      <alignment horizontal="left" wrapText="1"/>
    </xf>
    <xf numFmtId="0" fontId="12" fillId="6" borderId="2" xfId="0" applyFont="1" applyFill="1" applyBorder="1" applyAlignment="1">
      <alignment horizontal="center"/>
    </xf>
    <xf numFmtId="0" fontId="6" fillId="6" borderId="2" xfId="0" applyFont="1" applyFill="1" applyBorder="1"/>
    <xf numFmtId="2" fontId="6" fillId="6" borderId="2" xfId="0" applyNumberFormat="1" applyFont="1" applyFill="1" applyBorder="1" applyAlignment="1">
      <alignment horizontal="center" vertical="center" wrapText="1"/>
    </xf>
    <xf numFmtId="0" fontId="83" fillId="6" borderId="5" xfId="0" applyFont="1" applyFill="1" applyBorder="1" applyAlignment="1">
      <alignment horizontal="left" wrapText="1"/>
    </xf>
    <xf numFmtId="0" fontId="0" fillId="6" borderId="0" xfId="0" applyFill="1" applyBorder="1"/>
    <xf numFmtId="2" fontId="6" fillId="6" borderId="5" xfId="0" applyNumberFormat="1" applyFont="1" applyFill="1" applyBorder="1" applyAlignment="1">
      <alignment horizontal="left" wrapText="1"/>
    </xf>
    <xf numFmtId="2" fontId="82" fillId="6" borderId="5" xfId="0" applyNumberFormat="1" applyFont="1" applyFill="1" applyBorder="1" applyAlignment="1">
      <alignment horizontal="left" wrapText="1"/>
    </xf>
    <xf numFmtId="0" fontId="6" fillId="6" borderId="2" xfId="0" applyFont="1" applyFill="1" applyBorder="1" applyAlignment="1">
      <alignment wrapText="1"/>
    </xf>
    <xf numFmtId="2" fontId="88" fillId="3" borderId="2" xfId="0" applyNumberFormat="1" applyFont="1" applyFill="1" applyBorder="1" applyAlignment="1">
      <alignment horizontal="center" vertical="top" wrapText="1"/>
    </xf>
    <xf numFmtId="2" fontId="71" fillId="5" borderId="2" xfId="0" applyNumberFormat="1" applyFont="1" applyFill="1" applyBorder="1" applyAlignment="1">
      <alignment horizontal="center" wrapText="1"/>
    </xf>
    <xf numFmtId="0" fontId="89" fillId="3" borderId="2" xfId="0" applyFont="1" applyFill="1" applyBorder="1"/>
    <xf numFmtId="0" fontId="90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9" fillId="0" borderId="2" xfId="0" applyFont="1" applyBorder="1" applyAlignment="1">
      <alignment horizontal="right" wrapText="1"/>
    </xf>
    <xf numFmtId="2" fontId="15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wrapText="1"/>
    </xf>
    <xf numFmtId="0" fontId="84" fillId="0" borderId="4" xfId="0" applyFont="1" applyBorder="1" applyAlignment="1">
      <alignment horizontal="left" wrapText="1"/>
    </xf>
    <xf numFmtId="0" fontId="84" fillId="0" borderId="7" xfId="0" applyFont="1" applyBorder="1" applyAlignment="1">
      <alignment horizontal="left" wrapText="1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81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6">
    <cellStyle name="Обычный" xfId="0" builtinId="0"/>
    <cellStyle name="Обычный 2" xfId="2"/>
    <cellStyle name="Обычный 2 2" xfId="8"/>
    <cellStyle name="Обычный 2 3" xfId="11"/>
    <cellStyle name="Обычный 2 4" xfId="14"/>
    <cellStyle name="Обычный 3" xfId="4"/>
    <cellStyle name="Обычный 4" xfId="6"/>
    <cellStyle name="Обычный 5" xfId="9"/>
    <cellStyle name="Обычный 6" xfId="12"/>
    <cellStyle name="Обычный 7" xfId="3"/>
    <cellStyle name="Обычный 8" xfId="15"/>
    <cellStyle name="Финансовый" xfId="1" builtinId="3"/>
    <cellStyle name="Финансовый 2" xfId="5"/>
    <cellStyle name="Финансовый 3" xfId="7"/>
    <cellStyle name="Финансовый 4" xfId="10"/>
    <cellStyle name="Финансовый 5" xfId="13"/>
  </cellStyles>
  <dxfs count="0"/>
  <tableStyles count="0" defaultTableStyle="TableStyleMedium2" defaultPivotStyle="PivotStyleLight16"/>
  <colors>
    <mruColors>
      <color rgb="FFB9CF87"/>
      <color rgb="FF99CC00"/>
      <color rgb="FF26269A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5"/>
  <sheetViews>
    <sheetView topLeftCell="A17" workbookViewId="0">
      <pane xSplit="3" ySplit="3" topLeftCell="G314" activePane="bottomRight" state="frozen"/>
      <selection activeCell="A17" sqref="A17"/>
      <selection pane="topRight" activeCell="D17" sqref="D17"/>
      <selection pane="bottomLeft" activeCell="A20" sqref="A20"/>
      <selection pane="bottomRight" activeCell="I27" sqref="I27"/>
    </sheetView>
  </sheetViews>
  <sheetFormatPr defaultRowHeight="15" x14ac:dyDescent="0.25"/>
  <cols>
    <col min="1" max="1" width="4.28515625" style="1" customWidth="1"/>
    <col min="2" max="2" width="36.42578125" customWidth="1"/>
    <col min="3" max="3" width="9.7109375" style="1" customWidth="1"/>
    <col min="4" max="4" width="8.85546875" style="1"/>
    <col min="5" max="5" width="8.28515625" style="1" customWidth="1"/>
    <col min="6" max="6" width="8.85546875" style="1"/>
    <col min="7" max="7" width="9.140625" customWidth="1"/>
    <col min="8" max="8" width="8.85546875" style="1"/>
  </cols>
  <sheetData>
    <row r="1" spans="1:9" x14ac:dyDescent="0.25">
      <c r="A1" s="5"/>
      <c r="B1" s="45"/>
      <c r="C1" s="5"/>
      <c r="D1" s="5"/>
      <c r="E1" s="5"/>
      <c r="F1" s="5"/>
      <c r="G1" s="46" t="s">
        <v>0</v>
      </c>
      <c r="H1" s="5"/>
    </row>
    <row r="2" spans="1:9" x14ac:dyDescent="0.25">
      <c r="A2" s="5"/>
      <c r="B2" s="5"/>
      <c r="C2" s="5"/>
      <c r="E2" s="47"/>
      <c r="F2" s="47"/>
      <c r="G2" s="5"/>
      <c r="H2" s="319" t="s">
        <v>567</v>
      </c>
      <c r="I2" s="2"/>
    </row>
    <row r="3" spans="1:9" x14ac:dyDescent="0.25">
      <c r="A3" s="5"/>
      <c r="B3" s="5"/>
      <c r="C3" s="5"/>
      <c r="D3" s="5"/>
      <c r="E3" s="5"/>
      <c r="F3" s="5"/>
      <c r="G3" s="5"/>
      <c r="H3" s="5"/>
    </row>
    <row r="4" spans="1:9" x14ac:dyDescent="0.25">
      <c r="A4" s="6"/>
      <c r="B4" s="8"/>
      <c r="C4" s="8"/>
      <c r="D4" s="8"/>
      <c r="E4" s="8"/>
      <c r="F4" s="8"/>
      <c r="G4" s="7" t="s">
        <v>1</v>
      </c>
      <c r="H4" s="5"/>
      <c r="I4" s="14"/>
    </row>
    <row r="5" spans="1:9" x14ac:dyDescent="0.25">
      <c r="A5" s="6"/>
      <c r="B5" s="48"/>
      <c r="C5" s="5"/>
      <c r="E5" s="8"/>
      <c r="F5" s="8" t="s">
        <v>568</v>
      </c>
      <c r="G5" s="7">
        <f>C1795</f>
        <v>2221.5</v>
      </c>
      <c r="H5" s="49" t="s">
        <v>2</v>
      </c>
    </row>
    <row r="6" spans="1:9" x14ac:dyDescent="0.25">
      <c r="A6" s="9"/>
      <c r="B6" s="6"/>
      <c r="D6" s="5"/>
      <c r="E6" s="5"/>
      <c r="F6" s="5"/>
      <c r="G6" s="45"/>
      <c r="H6" s="318" t="s">
        <v>3</v>
      </c>
    </row>
    <row r="7" spans="1:9" x14ac:dyDescent="0.25">
      <c r="A7" s="9"/>
      <c r="B7" s="6"/>
      <c r="C7" s="9"/>
      <c r="D7" s="5"/>
      <c r="E7" s="5"/>
      <c r="F7" s="5"/>
      <c r="G7" s="45"/>
      <c r="H7" s="45"/>
    </row>
    <row r="8" spans="1:9" x14ac:dyDescent="0.25">
      <c r="A8" s="6"/>
      <c r="B8" s="48"/>
      <c r="C8" s="48"/>
      <c r="D8" s="5"/>
      <c r="E8" s="5"/>
      <c r="F8" s="5"/>
      <c r="G8" s="5"/>
      <c r="H8" s="8" t="s">
        <v>569</v>
      </c>
      <c r="I8" s="2"/>
    </row>
    <row r="9" spans="1:9" ht="15.75" x14ac:dyDescent="0.25">
      <c r="A9" s="10"/>
      <c r="B9" s="5"/>
      <c r="C9" s="5"/>
      <c r="D9" s="5"/>
      <c r="E9" s="5"/>
      <c r="F9" s="5"/>
      <c r="G9" s="5"/>
      <c r="H9" s="50" t="s">
        <v>520</v>
      </c>
      <c r="I9" s="2"/>
    </row>
    <row r="10" spans="1:9" ht="18.75" hidden="1" x14ac:dyDescent="0.3">
      <c r="A10" s="10"/>
      <c r="B10" s="51" t="s">
        <v>4</v>
      </c>
      <c r="C10" s="5"/>
      <c r="D10" s="5"/>
      <c r="E10" s="5"/>
      <c r="F10" s="5"/>
      <c r="G10" s="13"/>
      <c r="H10" s="5"/>
      <c r="I10" s="2"/>
    </row>
    <row r="11" spans="1:9" ht="15.75" hidden="1" x14ac:dyDescent="0.25">
      <c r="A11" s="10"/>
      <c r="B11" s="5"/>
      <c r="C11" s="5"/>
      <c r="D11" s="5"/>
      <c r="E11" s="5"/>
      <c r="F11" s="5"/>
      <c r="G11" s="13"/>
      <c r="H11" s="5"/>
      <c r="I11" s="2"/>
    </row>
    <row r="12" spans="1:9" ht="18.75" x14ac:dyDescent="0.3">
      <c r="A12" s="11"/>
      <c r="B12" s="52" t="s">
        <v>570</v>
      </c>
      <c r="C12" s="12"/>
      <c r="D12" s="12"/>
      <c r="E12" s="12"/>
      <c r="F12" s="12"/>
      <c r="G12" s="5"/>
      <c r="H12" s="5"/>
    </row>
    <row r="13" spans="1:9" ht="18.75" x14ac:dyDescent="0.3">
      <c r="A13" s="11"/>
      <c r="B13" s="51" t="s">
        <v>647</v>
      </c>
      <c r="C13" s="12"/>
      <c r="D13" s="12"/>
      <c r="E13" s="12"/>
      <c r="F13" s="12"/>
      <c r="G13" s="5"/>
      <c r="H13" s="5"/>
    </row>
    <row r="14" spans="1:9" ht="15.75" x14ac:dyDescent="0.25">
      <c r="A14" s="6" t="s">
        <v>5</v>
      </c>
      <c r="B14" s="13"/>
      <c r="C14" s="12"/>
      <c r="D14" s="12"/>
      <c r="E14" s="12"/>
      <c r="F14" s="12"/>
      <c r="G14" s="5"/>
      <c r="H14" s="5"/>
    </row>
    <row r="15" spans="1:9" x14ac:dyDescent="0.25">
      <c r="A15" s="6" t="s">
        <v>6</v>
      </c>
      <c r="B15" s="5"/>
      <c r="C15" s="12"/>
      <c r="D15" s="12"/>
      <c r="E15" s="12"/>
      <c r="F15" s="12"/>
      <c r="G15" s="5"/>
      <c r="H15" s="5"/>
    </row>
    <row r="16" spans="1:9" x14ac:dyDescent="0.25">
      <c r="A16" s="11"/>
      <c r="B16" s="5"/>
      <c r="C16" s="12"/>
      <c r="D16" s="12"/>
      <c r="E16" s="12"/>
      <c r="F16" s="12"/>
      <c r="G16" s="5"/>
      <c r="H16" s="5"/>
    </row>
    <row r="17" spans="1:9" x14ac:dyDescent="0.25">
      <c r="A17" s="9" t="s">
        <v>7</v>
      </c>
      <c r="B17" s="5"/>
      <c r="C17" s="12"/>
      <c r="D17" s="12"/>
      <c r="E17" s="12"/>
      <c r="F17" s="12"/>
      <c r="G17" s="5"/>
      <c r="H17" s="5"/>
    </row>
    <row r="18" spans="1:9" x14ac:dyDescent="0.25">
      <c r="A18" s="672" t="s">
        <v>8</v>
      </c>
      <c r="B18" s="675" t="s">
        <v>9</v>
      </c>
      <c r="C18" s="676" t="s">
        <v>571</v>
      </c>
      <c r="D18" s="670" t="s">
        <v>10</v>
      </c>
      <c r="E18" s="670"/>
      <c r="F18" s="670"/>
      <c r="G18" s="670"/>
      <c r="H18" s="670"/>
    </row>
    <row r="19" spans="1:9" ht="33" x14ac:dyDescent="0.25">
      <c r="A19" s="672"/>
      <c r="B19" s="675"/>
      <c r="C19" s="676"/>
      <c r="D19" s="53" t="s">
        <v>537</v>
      </c>
      <c r="E19" s="53" t="s">
        <v>538</v>
      </c>
      <c r="F19" s="54" t="s">
        <v>539</v>
      </c>
      <c r="G19" s="55" t="s">
        <v>11</v>
      </c>
      <c r="H19" s="53" t="s">
        <v>12</v>
      </c>
      <c r="I19" t="s">
        <v>13</v>
      </c>
    </row>
    <row r="20" spans="1:9" ht="15.75" x14ac:dyDescent="0.25">
      <c r="A20" s="56"/>
      <c r="B20" s="57" t="s">
        <v>14</v>
      </c>
      <c r="C20" s="58"/>
      <c r="D20" s="58"/>
      <c r="E20" s="58"/>
      <c r="F20" s="59"/>
      <c r="G20" s="60"/>
      <c r="H20" s="61"/>
    </row>
    <row r="21" spans="1:9" x14ac:dyDescent="0.25">
      <c r="A21" s="56"/>
      <c r="B21" s="62" t="s">
        <v>15</v>
      </c>
      <c r="C21" s="63"/>
      <c r="D21" s="63"/>
      <c r="E21" s="63"/>
      <c r="F21" s="64"/>
      <c r="G21" s="60"/>
      <c r="H21" s="61"/>
    </row>
    <row r="22" spans="1:9" x14ac:dyDescent="0.25">
      <c r="A22" s="56">
        <v>1</v>
      </c>
      <c r="B22" s="65" t="s">
        <v>572</v>
      </c>
      <c r="C22" s="66">
        <v>1</v>
      </c>
      <c r="D22" s="66">
        <f t="shared" ref="D22:D28" si="0">C22-G22-H22</f>
        <v>1</v>
      </c>
      <c r="E22" s="66">
        <f t="shared" ref="E22:E28" si="1">D22-F22</f>
        <v>1</v>
      </c>
      <c r="F22" s="67"/>
      <c r="G22" s="60"/>
      <c r="H22" s="68"/>
    </row>
    <row r="23" spans="1:9" ht="26.25" x14ac:dyDescent="0.25">
      <c r="A23" s="56">
        <v>2</v>
      </c>
      <c r="B23" s="69" t="s">
        <v>16</v>
      </c>
      <c r="C23" s="66">
        <v>1</v>
      </c>
      <c r="D23" s="66">
        <f t="shared" si="0"/>
        <v>1</v>
      </c>
      <c r="E23" s="66">
        <f t="shared" si="1"/>
        <v>1</v>
      </c>
      <c r="F23" s="67"/>
      <c r="G23" s="60"/>
      <c r="H23" s="68"/>
    </row>
    <row r="24" spans="1:9" x14ac:dyDescent="0.25">
      <c r="A24" s="56">
        <v>3</v>
      </c>
      <c r="B24" s="70" t="s">
        <v>573</v>
      </c>
      <c r="C24" s="66">
        <v>1</v>
      </c>
      <c r="D24" s="66">
        <f t="shared" si="0"/>
        <v>0</v>
      </c>
      <c r="E24" s="66">
        <f t="shared" si="1"/>
        <v>0</v>
      </c>
      <c r="F24" s="67"/>
      <c r="G24" s="60"/>
      <c r="H24" s="68">
        <v>1</v>
      </c>
    </row>
    <row r="25" spans="1:9" ht="26.25" x14ac:dyDescent="0.25">
      <c r="A25" s="56">
        <v>4</v>
      </c>
      <c r="B25" s="70" t="s">
        <v>535</v>
      </c>
      <c r="C25" s="66">
        <v>1</v>
      </c>
      <c r="D25" s="66">
        <f t="shared" si="0"/>
        <v>1</v>
      </c>
      <c r="E25" s="66">
        <f t="shared" si="1"/>
        <v>1</v>
      </c>
      <c r="F25" s="67"/>
      <c r="G25" s="60"/>
      <c r="H25" s="68"/>
    </row>
    <row r="26" spans="1:9" ht="26.25" x14ac:dyDescent="0.25">
      <c r="A26" s="56">
        <v>5</v>
      </c>
      <c r="B26" s="70" t="s">
        <v>17</v>
      </c>
      <c r="C26" s="66">
        <v>1</v>
      </c>
      <c r="D26" s="66">
        <f t="shared" si="0"/>
        <v>1</v>
      </c>
      <c r="E26" s="66">
        <f t="shared" si="1"/>
        <v>1</v>
      </c>
      <c r="F26" s="67"/>
      <c r="G26" s="60"/>
      <c r="H26" s="68"/>
    </row>
    <row r="27" spans="1:9" x14ac:dyDescent="0.25">
      <c r="A27" s="61">
        <v>6</v>
      </c>
      <c r="B27" s="65" t="s">
        <v>18</v>
      </c>
      <c r="C27" s="68">
        <v>1</v>
      </c>
      <c r="D27" s="68">
        <f t="shared" si="0"/>
        <v>1</v>
      </c>
      <c r="E27" s="66">
        <f t="shared" si="1"/>
        <v>1</v>
      </c>
      <c r="F27" s="71"/>
      <c r="G27" s="60"/>
      <c r="H27" s="68"/>
    </row>
    <row r="28" spans="1:9" x14ac:dyDescent="0.25">
      <c r="A28" s="61">
        <v>7</v>
      </c>
      <c r="B28" s="65" t="s">
        <v>19</v>
      </c>
      <c r="C28" s="68">
        <v>1</v>
      </c>
      <c r="D28" s="68">
        <f t="shared" si="0"/>
        <v>0.75</v>
      </c>
      <c r="E28" s="66">
        <f t="shared" si="1"/>
        <v>0.75</v>
      </c>
      <c r="F28" s="71"/>
      <c r="G28" s="61">
        <v>0.25</v>
      </c>
      <c r="H28" s="68"/>
    </row>
    <row r="29" spans="1:9" x14ac:dyDescent="0.25">
      <c r="A29" s="56"/>
      <c r="B29" s="72" t="s">
        <v>20</v>
      </c>
      <c r="C29" s="73">
        <f t="shared" ref="C29:H29" si="2">SUM(C22:C28)</f>
        <v>7</v>
      </c>
      <c r="D29" s="73">
        <f t="shared" si="2"/>
        <v>5.75</v>
      </c>
      <c r="E29" s="73">
        <f t="shared" si="2"/>
        <v>5.75</v>
      </c>
      <c r="F29" s="74">
        <f t="shared" si="2"/>
        <v>0</v>
      </c>
      <c r="G29" s="73">
        <f t="shared" si="2"/>
        <v>0.25</v>
      </c>
      <c r="H29" s="75">
        <f t="shared" si="2"/>
        <v>1</v>
      </c>
    </row>
    <row r="30" spans="1:9" x14ac:dyDescent="0.25">
      <c r="A30" s="56"/>
      <c r="B30" s="33" t="s">
        <v>522</v>
      </c>
      <c r="C30" s="73"/>
      <c r="D30" s="73"/>
      <c r="E30" s="73"/>
      <c r="F30" s="74"/>
      <c r="G30" s="73"/>
      <c r="H30" s="75"/>
    </row>
    <row r="31" spans="1:9" x14ac:dyDescent="0.25">
      <c r="A31" s="56">
        <v>1</v>
      </c>
      <c r="B31" s="76" t="s">
        <v>523</v>
      </c>
      <c r="C31" s="66">
        <v>0.75</v>
      </c>
      <c r="D31" s="68">
        <f>C31-G31-H31</f>
        <v>0.25</v>
      </c>
      <c r="E31" s="66">
        <f>D31-F31</f>
        <v>0.25</v>
      </c>
      <c r="F31" s="71"/>
      <c r="G31" s="66">
        <v>0.5</v>
      </c>
      <c r="H31" s="66"/>
    </row>
    <row r="32" spans="1:9" x14ac:dyDescent="0.25">
      <c r="A32" s="56">
        <v>2</v>
      </c>
      <c r="B32" s="76" t="s">
        <v>64</v>
      </c>
      <c r="C32" s="66">
        <v>0.5</v>
      </c>
      <c r="D32" s="68">
        <f>C32-G32-H32</f>
        <v>0.25</v>
      </c>
      <c r="E32" s="66">
        <f>D32-F32</f>
        <v>0.25</v>
      </c>
      <c r="F32" s="71"/>
      <c r="G32" s="66">
        <v>0.25</v>
      </c>
      <c r="H32" s="66"/>
    </row>
    <row r="33" spans="1:8" x14ac:dyDescent="0.25">
      <c r="A33" s="56">
        <v>3</v>
      </c>
      <c r="B33" s="76" t="s">
        <v>45</v>
      </c>
      <c r="C33" s="66">
        <v>0.5</v>
      </c>
      <c r="D33" s="68">
        <f>C33-G33-H33</f>
        <v>0.25</v>
      </c>
      <c r="E33" s="66">
        <f>D33-F33</f>
        <v>0.25</v>
      </c>
      <c r="F33" s="71"/>
      <c r="G33" s="66">
        <v>0.25</v>
      </c>
      <c r="H33" s="66"/>
    </row>
    <row r="34" spans="1:8" x14ac:dyDescent="0.25">
      <c r="A34" s="56"/>
      <c r="B34" s="72" t="s">
        <v>20</v>
      </c>
      <c r="C34" s="77">
        <f t="shared" ref="C34:H34" si="3">SUM(C31:C33)</f>
        <v>1.75</v>
      </c>
      <c r="D34" s="77">
        <f t="shared" si="3"/>
        <v>0.75</v>
      </c>
      <c r="E34" s="77">
        <f t="shared" si="3"/>
        <v>0.75</v>
      </c>
      <c r="F34" s="78">
        <f t="shared" si="3"/>
        <v>0</v>
      </c>
      <c r="G34" s="77">
        <f t="shared" si="3"/>
        <v>1</v>
      </c>
      <c r="H34" s="77">
        <f t="shared" si="3"/>
        <v>0</v>
      </c>
    </row>
    <row r="35" spans="1:8" x14ac:dyDescent="0.25">
      <c r="A35" s="61"/>
      <c r="B35" s="79" t="s">
        <v>21</v>
      </c>
      <c r="C35" s="80"/>
      <c r="D35" s="80"/>
      <c r="E35" s="80"/>
      <c r="F35" s="81"/>
      <c r="G35" s="60"/>
      <c r="H35" s="61"/>
    </row>
    <row r="36" spans="1:8" x14ac:dyDescent="0.25">
      <c r="A36" s="61">
        <v>1</v>
      </c>
      <c r="B36" s="70" t="s">
        <v>22</v>
      </c>
      <c r="C36" s="68">
        <v>1</v>
      </c>
      <c r="D36" s="68">
        <f>C36-G36-H36</f>
        <v>0.75</v>
      </c>
      <c r="E36" s="66">
        <f>D36-F36</f>
        <v>0.75</v>
      </c>
      <c r="F36" s="71"/>
      <c r="G36" s="61">
        <v>0.25</v>
      </c>
      <c r="H36" s="68"/>
    </row>
    <row r="37" spans="1:8" x14ac:dyDescent="0.25">
      <c r="A37" s="61">
        <v>2</v>
      </c>
      <c r="B37" s="70" t="s">
        <v>23</v>
      </c>
      <c r="C37" s="68">
        <f>1-1+1</f>
        <v>1</v>
      </c>
      <c r="D37" s="68">
        <f>C37-G37-H37</f>
        <v>0.75</v>
      </c>
      <c r="E37" s="66">
        <f>D37-F37</f>
        <v>0.75</v>
      </c>
      <c r="F37" s="71"/>
      <c r="G37" s="61">
        <v>0.25</v>
      </c>
      <c r="H37" s="68"/>
    </row>
    <row r="38" spans="1:8" x14ac:dyDescent="0.25">
      <c r="A38" s="61">
        <v>3</v>
      </c>
      <c r="B38" s="65" t="s">
        <v>24</v>
      </c>
      <c r="C38" s="68">
        <f>3-1+1-1</f>
        <v>2</v>
      </c>
      <c r="D38" s="68">
        <f>C38-G38-H38</f>
        <v>1.5</v>
      </c>
      <c r="E38" s="66">
        <f>D38-F38</f>
        <v>1.5</v>
      </c>
      <c r="F38" s="71"/>
      <c r="G38" s="68">
        <f>0.75-0.25</f>
        <v>0.5</v>
      </c>
      <c r="H38" s="68"/>
    </row>
    <row r="39" spans="1:8" x14ac:dyDescent="0.25">
      <c r="A39" s="61">
        <v>4</v>
      </c>
      <c r="B39" s="76" t="s">
        <v>25</v>
      </c>
      <c r="C39" s="68">
        <v>1</v>
      </c>
      <c r="D39" s="68">
        <f>C39-G39-H39</f>
        <v>0.75</v>
      </c>
      <c r="E39" s="66">
        <f>D39-F39</f>
        <v>0.75</v>
      </c>
      <c r="F39" s="71"/>
      <c r="G39" s="61">
        <v>0.25</v>
      </c>
      <c r="H39" s="68"/>
    </row>
    <row r="40" spans="1:8" x14ac:dyDescent="0.25">
      <c r="A40" s="61">
        <v>5</v>
      </c>
      <c r="B40" s="65" t="s">
        <v>26</v>
      </c>
      <c r="C40" s="68">
        <f>1+0.5-0.5</f>
        <v>1</v>
      </c>
      <c r="D40" s="68">
        <f>C40-G40-H40</f>
        <v>0.75</v>
      </c>
      <c r="E40" s="66">
        <f>D40-F40</f>
        <v>0.75</v>
      </c>
      <c r="F40" s="71"/>
      <c r="G40" s="61">
        <f>0.5-0.25</f>
        <v>0.25</v>
      </c>
      <c r="H40" s="68"/>
    </row>
    <row r="41" spans="1:8" x14ac:dyDescent="0.25">
      <c r="A41" s="61"/>
      <c r="B41" s="72" t="s">
        <v>27</v>
      </c>
      <c r="C41" s="73">
        <f t="shared" ref="C41:H41" si="4">SUM(C36:C40)</f>
        <v>6</v>
      </c>
      <c r="D41" s="73">
        <f t="shared" si="4"/>
        <v>4.5</v>
      </c>
      <c r="E41" s="73">
        <f t="shared" si="4"/>
        <v>4.5</v>
      </c>
      <c r="F41" s="74">
        <f t="shared" si="4"/>
        <v>0</v>
      </c>
      <c r="G41" s="73">
        <f t="shared" si="4"/>
        <v>1.5</v>
      </c>
      <c r="H41" s="73">
        <f t="shared" si="4"/>
        <v>0</v>
      </c>
    </row>
    <row r="42" spans="1:8" x14ac:dyDescent="0.25">
      <c r="A42" s="61"/>
      <c r="B42" s="82"/>
      <c r="C42" s="83">
        <f t="shared" ref="C42:H42" si="5">SUM(C43:C46)</f>
        <v>6</v>
      </c>
      <c r="D42" s="83">
        <f t="shared" si="5"/>
        <v>4.5</v>
      </c>
      <c r="E42" s="83">
        <f t="shared" si="5"/>
        <v>4.5</v>
      </c>
      <c r="F42" s="84">
        <f t="shared" si="5"/>
        <v>0</v>
      </c>
      <c r="G42" s="83">
        <f t="shared" si="5"/>
        <v>1.5</v>
      </c>
      <c r="H42" s="83">
        <f t="shared" si="5"/>
        <v>0</v>
      </c>
    </row>
    <row r="43" spans="1:8" x14ac:dyDescent="0.25">
      <c r="A43" s="61"/>
      <c r="B43" s="82" t="s">
        <v>28</v>
      </c>
      <c r="C43" s="73">
        <f t="shared" ref="C43:H43" si="6">C37+C36</f>
        <v>2</v>
      </c>
      <c r="D43" s="73">
        <f t="shared" si="6"/>
        <v>1.5</v>
      </c>
      <c r="E43" s="73">
        <f t="shared" si="6"/>
        <v>1.5</v>
      </c>
      <c r="F43" s="74">
        <f t="shared" si="6"/>
        <v>0</v>
      </c>
      <c r="G43" s="73">
        <f t="shared" si="6"/>
        <v>0.5</v>
      </c>
      <c r="H43" s="73">
        <f t="shared" si="6"/>
        <v>0</v>
      </c>
    </row>
    <row r="44" spans="1:8" x14ac:dyDescent="0.25">
      <c r="A44" s="61"/>
      <c r="B44" s="82" t="s">
        <v>524</v>
      </c>
      <c r="C44" s="73">
        <f t="shared" ref="C44:H44" si="7">C38</f>
        <v>2</v>
      </c>
      <c r="D44" s="73">
        <f t="shared" si="7"/>
        <v>1.5</v>
      </c>
      <c r="E44" s="73">
        <f t="shared" si="7"/>
        <v>1.5</v>
      </c>
      <c r="F44" s="74">
        <f t="shared" si="7"/>
        <v>0</v>
      </c>
      <c r="G44" s="73">
        <f t="shared" si="7"/>
        <v>0.5</v>
      </c>
      <c r="H44" s="73">
        <f t="shared" si="7"/>
        <v>0</v>
      </c>
    </row>
    <row r="45" spans="1:8" x14ac:dyDescent="0.25">
      <c r="A45" s="61"/>
      <c r="B45" s="5"/>
      <c r="C45" s="73"/>
      <c r="D45" s="73"/>
      <c r="E45" s="73"/>
      <c r="F45" s="74"/>
      <c r="G45" s="73"/>
      <c r="H45" s="73"/>
    </row>
    <row r="46" spans="1:8" x14ac:dyDescent="0.25">
      <c r="A46" s="61"/>
      <c r="B46" s="82" t="s">
        <v>30</v>
      </c>
      <c r="C46" s="73">
        <f t="shared" ref="C46:H46" si="8">C40+C39</f>
        <v>2</v>
      </c>
      <c r="D46" s="73">
        <f t="shared" si="8"/>
        <v>1.5</v>
      </c>
      <c r="E46" s="73">
        <f t="shared" si="8"/>
        <v>1.5</v>
      </c>
      <c r="F46" s="74">
        <f t="shared" si="8"/>
        <v>0</v>
      </c>
      <c r="G46" s="73">
        <f t="shared" si="8"/>
        <v>0.5</v>
      </c>
      <c r="H46" s="73">
        <f t="shared" si="8"/>
        <v>0</v>
      </c>
    </row>
    <row r="47" spans="1:8" x14ac:dyDescent="0.25">
      <c r="A47" s="61"/>
      <c r="B47" s="82"/>
      <c r="C47" s="73"/>
      <c r="D47" s="73"/>
      <c r="E47" s="73"/>
      <c r="F47" s="74"/>
      <c r="G47" s="73"/>
      <c r="H47" s="73"/>
    </row>
    <row r="48" spans="1:8" ht="18.75" x14ac:dyDescent="0.3">
      <c r="A48" s="61"/>
      <c r="B48" s="85" t="s">
        <v>465</v>
      </c>
      <c r="C48" s="66"/>
      <c r="D48" s="66"/>
      <c r="E48" s="66"/>
      <c r="F48" s="67"/>
      <c r="G48" s="66"/>
      <c r="H48" s="73"/>
    </row>
    <row r="49" spans="1:8" x14ac:dyDescent="0.25">
      <c r="A49" s="61">
        <v>1</v>
      </c>
      <c r="B49" s="86" t="s">
        <v>466</v>
      </c>
      <c r="C49" s="66">
        <v>1</v>
      </c>
      <c r="D49" s="66">
        <f>C49-G49-H49</f>
        <v>0.5</v>
      </c>
      <c r="E49" s="66">
        <f t="shared" ref="E49:E54" si="9">D49-F49</f>
        <v>0.5</v>
      </c>
      <c r="F49" s="67"/>
      <c r="G49" s="66">
        <v>0.5</v>
      </c>
      <c r="H49" s="73"/>
    </row>
    <row r="50" spans="1:8" x14ac:dyDescent="0.25">
      <c r="A50" s="87"/>
      <c r="B50" s="33" t="s">
        <v>31</v>
      </c>
      <c r="C50" s="73"/>
      <c r="D50" s="73"/>
      <c r="E50" s="66"/>
      <c r="F50" s="74"/>
      <c r="G50" s="61"/>
      <c r="H50" s="61"/>
    </row>
    <row r="51" spans="1:8" x14ac:dyDescent="0.25">
      <c r="A51" s="56">
        <v>1</v>
      </c>
      <c r="B51" s="88" t="s">
        <v>467</v>
      </c>
      <c r="C51" s="66">
        <v>1</v>
      </c>
      <c r="D51" s="66">
        <f>C51-G51-H51</f>
        <v>0.75</v>
      </c>
      <c r="E51" s="66">
        <f t="shared" si="9"/>
        <v>0.75</v>
      </c>
      <c r="F51" s="67"/>
      <c r="G51" s="61">
        <v>0.25</v>
      </c>
      <c r="H51" s="68"/>
    </row>
    <row r="52" spans="1:8" ht="30" x14ac:dyDescent="0.25">
      <c r="A52" s="61">
        <v>2</v>
      </c>
      <c r="B52" s="89" t="s">
        <v>468</v>
      </c>
      <c r="C52" s="68">
        <v>1</v>
      </c>
      <c r="D52" s="68">
        <f>C52-G52-H52</f>
        <v>0.5</v>
      </c>
      <c r="E52" s="66">
        <f t="shared" si="9"/>
        <v>0.5</v>
      </c>
      <c r="F52" s="71"/>
      <c r="G52" s="68">
        <v>0.5</v>
      </c>
      <c r="H52" s="68"/>
    </row>
    <row r="53" spans="1:8" x14ac:dyDescent="0.25">
      <c r="A53" s="61">
        <v>3</v>
      </c>
      <c r="B53" s="89" t="s">
        <v>469</v>
      </c>
      <c r="C53" s="68">
        <v>1</v>
      </c>
      <c r="D53" s="68">
        <f>C53-G53-H53</f>
        <v>0.5</v>
      </c>
      <c r="E53" s="66">
        <f t="shared" si="9"/>
        <v>0.5</v>
      </c>
      <c r="F53" s="71"/>
      <c r="G53" s="68">
        <v>0.5</v>
      </c>
      <c r="H53" s="68"/>
    </row>
    <row r="54" spans="1:8" x14ac:dyDescent="0.25">
      <c r="A54" s="61">
        <v>3</v>
      </c>
      <c r="B54" s="88" t="s">
        <v>32</v>
      </c>
      <c r="C54" s="68">
        <v>1</v>
      </c>
      <c r="D54" s="68">
        <f>C54-G54-H54</f>
        <v>0.75</v>
      </c>
      <c r="E54" s="66">
        <f t="shared" si="9"/>
        <v>0.75</v>
      </c>
      <c r="F54" s="71"/>
      <c r="G54" s="61">
        <v>0.25</v>
      </c>
      <c r="H54" s="68"/>
    </row>
    <row r="55" spans="1:8" x14ac:dyDescent="0.25">
      <c r="A55" s="61"/>
      <c r="B55" s="72" t="s">
        <v>27</v>
      </c>
      <c r="C55" s="73">
        <f t="shared" ref="C55:H55" si="10">SUM(C51:C54)</f>
        <v>4</v>
      </c>
      <c r="D55" s="73">
        <f t="shared" si="10"/>
        <v>2.5</v>
      </c>
      <c r="E55" s="73">
        <f t="shared" si="10"/>
        <v>2.5</v>
      </c>
      <c r="F55" s="74">
        <f t="shared" si="10"/>
        <v>0</v>
      </c>
      <c r="G55" s="73">
        <f t="shared" si="10"/>
        <v>1.5</v>
      </c>
      <c r="H55" s="75">
        <f t="shared" si="10"/>
        <v>0</v>
      </c>
    </row>
    <row r="56" spans="1:8" x14ac:dyDescent="0.25">
      <c r="A56" s="61"/>
      <c r="B56" s="90" t="s">
        <v>33</v>
      </c>
      <c r="C56" s="91"/>
      <c r="D56" s="91"/>
      <c r="E56" s="91"/>
      <c r="F56" s="92"/>
      <c r="G56" s="60"/>
      <c r="H56" s="61"/>
    </row>
    <row r="57" spans="1:8" x14ac:dyDescent="0.25">
      <c r="A57" s="61">
        <v>1</v>
      </c>
      <c r="B57" s="88" t="s">
        <v>467</v>
      </c>
      <c r="C57" s="66">
        <v>1</v>
      </c>
      <c r="D57" s="66">
        <f>C57-G57-H57</f>
        <v>0.75</v>
      </c>
      <c r="E57" s="66">
        <f>D57-F57</f>
        <v>0.75</v>
      </c>
      <c r="F57" s="67"/>
      <c r="G57" s="61">
        <v>0.25</v>
      </c>
      <c r="H57" s="68"/>
    </row>
    <row r="58" spans="1:8" x14ac:dyDescent="0.25">
      <c r="A58" s="61">
        <v>2</v>
      </c>
      <c r="B58" s="76" t="s">
        <v>34</v>
      </c>
      <c r="C58" s="66">
        <v>1</v>
      </c>
      <c r="D58" s="66">
        <f>C58-G58-H58</f>
        <v>0.75</v>
      </c>
      <c r="E58" s="66">
        <f>D58-F58</f>
        <v>0.75</v>
      </c>
      <c r="F58" s="67"/>
      <c r="G58" s="61">
        <v>0.25</v>
      </c>
      <c r="H58" s="68"/>
    </row>
    <row r="59" spans="1:8" x14ac:dyDescent="0.25">
      <c r="A59" s="61">
        <v>3</v>
      </c>
      <c r="B59" s="60" t="s">
        <v>23</v>
      </c>
      <c r="C59" s="66">
        <v>1</v>
      </c>
      <c r="D59" s="66">
        <f>C59-G59-H59</f>
        <v>0.75</v>
      </c>
      <c r="E59" s="66">
        <f>D59-F59</f>
        <v>0.75</v>
      </c>
      <c r="F59" s="67"/>
      <c r="G59" s="61">
        <v>0.25</v>
      </c>
      <c r="H59" s="68"/>
    </row>
    <row r="60" spans="1:8" x14ac:dyDescent="0.25">
      <c r="A60" s="61">
        <v>4</v>
      </c>
      <c r="B60" s="76" t="s">
        <v>24</v>
      </c>
      <c r="C60" s="66">
        <f>1</f>
        <v>1</v>
      </c>
      <c r="D60" s="66">
        <f>C60-G60-H60</f>
        <v>0.75</v>
      </c>
      <c r="E60" s="66">
        <f>D60-F60</f>
        <v>0.75</v>
      </c>
      <c r="F60" s="67"/>
      <c r="G60" s="61">
        <f>0.25</f>
        <v>0.25</v>
      </c>
      <c r="H60" s="68"/>
    </row>
    <row r="61" spans="1:8" x14ac:dyDescent="0.25">
      <c r="A61" s="61">
        <v>5</v>
      </c>
      <c r="B61" s="76" t="s">
        <v>35</v>
      </c>
      <c r="C61" s="66">
        <f>4</f>
        <v>4</v>
      </c>
      <c r="D61" s="66">
        <f>C61-G61-H61</f>
        <v>3</v>
      </c>
      <c r="E61" s="66">
        <f>D61-F61</f>
        <v>3</v>
      </c>
      <c r="F61" s="67"/>
      <c r="G61" s="68">
        <f>0.75+0.25</f>
        <v>1</v>
      </c>
      <c r="H61" s="68"/>
    </row>
    <row r="62" spans="1:8" x14ac:dyDescent="0.25">
      <c r="A62" s="61"/>
      <c r="B62" s="72" t="s">
        <v>27</v>
      </c>
      <c r="C62" s="73">
        <f t="shared" ref="C62:H62" si="11">SUM(C57:C61)</f>
        <v>8</v>
      </c>
      <c r="D62" s="73">
        <f t="shared" si="11"/>
        <v>6</v>
      </c>
      <c r="E62" s="73">
        <f t="shared" si="11"/>
        <v>6</v>
      </c>
      <c r="F62" s="74">
        <f t="shared" si="11"/>
        <v>0</v>
      </c>
      <c r="G62" s="73">
        <f t="shared" si="11"/>
        <v>2</v>
      </c>
      <c r="H62" s="75">
        <f t="shared" si="11"/>
        <v>0</v>
      </c>
    </row>
    <row r="63" spans="1:8" x14ac:dyDescent="0.25">
      <c r="A63" s="61"/>
      <c r="B63" s="90" t="s">
        <v>470</v>
      </c>
      <c r="C63" s="73"/>
      <c r="D63" s="73"/>
      <c r="E63" s="73"/>
      <c r="F63" s="74"/>
      <c r="G63" s="73"/>
      <c r="H63" s="75"/>
    </row>
    <row r="64" spans="1:8" x14ac:dyDescent="0.25">
      <c r="A64" s="61">
        <v>1</v>
      </c>
      <c r="B64" s="88" t="s">
        <v>467</v>
      </c>
      <c r="C64" s="66">
        <v>1</v>
      </c>
      <c r="D64" s="66">
        <f>C64-G64-H64</f>
        <v>0</v>
      </c>
      <c r="E64" s="66">
        <f>D64-F64</f>
        <v>0</v>
      </c>
      <c r="F64" s="67"/>
      <c r="G64" s="66">
        <v>1</v>
      </c>
      <c r="H64" s="75"/>
    </row>
    <row r="65" spans="1:9" x14ac:dyDescent="0.25">
      <c r="A65" s="61">
        <v>2</v>
      </c>
      <c r="B65" s="88" t="s">
        <v>471</v>
      </c>
      <c r="C65" s="66">
        <v>1</v>
      </c>
      <c r="D65" s="66">
        <f>C65-G65-H65</f>
        <v>0</v>
      </c>
      <c r="E65" s="66">
        <f>D65-F65</f>
        <v>0</v>
      </c>
      <c r="F65" s="67"/>
      <c r="G65" s="66">
        <v>1</v>
      </c>
      <c r="H65" s="75"/>
    </row>
    <row r="66" spans="1:9" x14ac:dyDescent="0.25">
      <c r="A66" s="61">
        <v>3</v>
      </c>
      <c r="B66" s="76" t="s">
        <v>23</v>
      </c>
      <c r="C66" s="66">
        <v>1</v>
      </c>
      <c r="D66" s="66">
        <f>C66-G66-H66</f>
        <v>0</v>
      </c>
      <c r="E66" s="66">
        <f>D66-F66</f>
        <v>0</v>
      </c>
      <c r="F66" s="67"/>
      <c r="G66" s="66">
        <v>1</v>
      </c>
      <c r="H66" s="75"/>
    </row>
    <row r="67" spans="1:9" x14ac:dyDescent="0.25">
      <c r="A67" s="61">
        <v>4</v>
      </c>
      <c r="B67" s="76" t="s">
        <v>24</v>
      </c>
      <c r="C67" s="66">
        <v>1</v>
      </c>
      <c r="D67" s="66">
        <f>C67-G67-H67</f>
        <v>0</v>
      </c>
      <c r="E67" s="66">
        <f>D67-F67</f>
        <v>0</v>
      </c>
      <c r="F67" s="67"/>
      <c r="G67" s="66">
        <v>1</v>
      </c>
      <c r="H67" s="75"/>
    </row>
    <row r="68" spans="1:9" x14ac:dyDescent="0.25">
      <c r="A68" s="61">
        <v>5</v>
      </c>
      <c r="B68" s="76" t="s">
        <v>26</v>
      </c>
      <c r="C68" s="66">
        <v>1</v>
      </c>
      <c r="D68" s="66">
        <f>C68-G68-H68</f>
        <v>0</v>
      </c>
      <c r="E68" s="66">
        <f>D68-F68</f>
        <v>0</v>
      </c>
      <c r="F68" s="67"/>
      <c r="G68" s="66">
        <v>1</v>
      </c>
      <c r="H68" s="75"/>
    </row>
    <row r="69" spans="1:9" x14ac:dyDescent="0.25">
      <c r="A69" s="61"/>
      <c r="B69" s="72" t="s">
        <v>27</v>
      </c>
      <c r="C69" s="73">
        <f t="shared" ref="C69:H69" si="12">SUM(C64:C68)</f>
        <v>5</v>
      </c>
      <c r="D69" s="73">
        <f t="shared" si="12"/>
        <v>0</v>
      </c>
      <c r="E69" s="73">
        <f t="shared" si="12"/>
        <v>0</v>
      </c>
      <c r="F69" s="74">
        <f t="shared" si="12"/>
        <v>0</v>
      </c>
      <c r="G69" s="73">
        <f t="shared" si="12"/>
        <v>5</v>
      </c>
      <c r="H69" s="75">
        <f t="shared" si="12"/>
        <v>0</v>
      </c>
    </row>
    <row r="70" spans="1:9" x14ac:dyDescent="0.25">
      <c r="A70" s="61"/>
      <c r="B70" s="93" t="s">
        <v>574</v>
      </c>
      <c r="C70" s="94">
        <f t="shared" ref="C70:H70" si="13">C69+C62+C55+C49</f>
        <v>18</v>
      </c>
      <c r="D70" s="94">
        <f t="shared" si="13"/>
        <v>9</v>
      </c>
      <c r="E70" s="94">
        <f t="shared" si="13"/>
        <v>9</v>
      </c>
      <c r="F70" s="95">
        <f t="shared" si="13"/>
        <v>0</v>
      </c>
      <c r="G70" s="94">
        <f t="shared" si="13"/>
        <v>9</v>
      </c>
      <c r="H70" s="94">
        <f t="shared" si="13"/>
        <v>0</v>
      </c>
    </row>
    <row r="71" spans="1:9" x14ac:dyDescent="0.25">
      <c r="A71" s="61"/>
      <c r="B71" s="96"/>
      <c r="C71" s="97">
        <f t="shared" ref="C71:H71" si="14">SUM(C72:C74)</f>
        <v>18</v>
      </c>
      <c r="D71" s="97">
        <f t="shared" si="14"/>
        <v>9</v>
      </c>
      <c r="E71" s="97">
        <f t="shared" si="14"/>
        <v>9</v>
      </c>
      <c r="F71" s="98">
        <f t="shared" si="14"/>
        <v>0</v>
      </c>
      <c r="G71" s="97">
        <f t="shared" si="14"/>
        <v>9</v>
      </c>
      <c r="H71" s="97">
        <f t="shared" si="14"/>
        <v>0</v>
      </c>
    </row>
    <row r="72" spans="1:9" x14ac:dyDescent="0.25">
      <c r="A72" s="61"/>
      <c r="B72" s="99" t="s">
        <v>28</v>
      </c>
      <c r="C72" s="94">
        <f t="shared" ref="C72:H72" si="15">C49+C51+C52+C57+C58+C59+C64+C65+C54+C66</f>
        <v>10</v>
      </c>
      <c r="D72" s="94">
        <f t="shared" si="15"/>
        <v>4.75</v>
      </c>
      <c r="E72" s="94">
        <f t="shared" si="15"/>
        <v>4.75</v>
      </c>
      <c r="F72" s="95">
        <f t="shared" si="15"/>
        <v>0</v>
      </c>
      <c r="G72" s="94">
        <f t="shared" si="15"/>
        <v>5.25</v>
      </c>
      <c r="H72" s="94">
        <f t="shared" si="15"/>
        <v>0</v>
      </c>
    </row>
    <row r="73" spans="1:9" x14ac:dyDescent="0.25">
      <c r="A73" s="61"/>
      <c r="B73" s="99" t="s">
        <v>36</v>
      </c>
      <c r="C73" s="94">
        <f t="shared" ref="C73:H73" si="16">C60+C67</f>
        <v>2</v>
      </c>
      <c r="D73" s="94">
        <f t="shared" si="16"/>
        <v>0.75</v>
      </c>
      <c r="E73" s="94">
        <f t="shared" si="16"/>
        <v>0.75</v>
      </c>
      <c r="F73" s="95">
        <f t="shared" si="16"/>
        <v>0</v>
      </c>
      <c r="G73" s="94">
        <f t="shared" si="16"/>
        <v>1.25</v>
      </c>
      <c r="H73" s="94">
        <f t="shared" si="16"/>
        <v>0</v>
      </c>
    </row>
    <row r="74" spans="1:9" x14ac:dyDescent="0.25">
      <c r="A74" s="61"/>
      <c r="B74" s="99" t="s">
        <v>37</v>
      </c>
      <c r="C74" s="94">
        <f t="shared" ref="C74:H74" si="17">C53+C61+C68</f>
        <v>6</v>
      </c>
      <c r="D74" s="94">
        <f t="shared" si="17"/>
        <v>3.5</v>
      </c>
      <c r="E74" s="94">
        <f t="shared" si="17"/>
        <v>3.5</v>
      </c>
      <c r="F74" s="95">
        <f t="shared" si="17"/>
        <v>0</v>
      </c>
      <c r="G74" s="94">
        <f t="shared" si="17"/>
        <v>2.5</v>
      </c>
      <c r="H74" s="94">
        <f t="shared" si="17"/>
        <v>0</v>
      </c>
    </row>
    <row r="75" spans="1:9" x14ac:dyDescent="0.25">
      <c r="A75" s="56"/>
      <c r="B75" s="93" t="s">
        <v>575</v>
      </c>
      <c r="C75" s="94">
        <f t="shared" ref="C75:H75" si="18">C70+C41+C29+C34</f>
        <v>32.75</v>
      </c>
      <c r="D75" s="94">
        <f t="shared" si="18"/>
        <v>20</v>
      </c>
      <c r="E75" s="94">
        <f t="shared" si="18"/>
        <v>20</v>
      </c>
      <c r="F75" s="95">
        <f t="shared" si="18"/>
        <v>0</v>
      </c>
      <c r="G75" s="94">
        <f t="shared" si="18"/>
        <v>11.75</v>
      </c>
      <c r="H75" s="94">
        <f t="shared" si="18"/>
        <v>1</v>
      </c>
      <c r="I75" s="3">
        <f>SUM(D75:H75)</f>
        <v>52.75</v>
      </c>
    </row>
    <row r="76" spans="1:9" x14ac:dyDescent="0.25">
      <c r="A76" s="56"/>
      <c r="B76" s="96"/>
      <c r="C76" s="97">
        <f t="shared" ref="C76:H76" si="19">SUM(C77:C80)</f>
        <v>32.75</v>
      </c>
      <c r="D76" s="97">
        <f t="shared" si="19"/>
        <v>20</v>
      </c>
      <c r="E76" s="97">
        <f t="shared" si="19"/>
        <v>20</v>
      </c>
      <c r="F76" s="98">
        <f t="shared" si="19"/>
        <v>0</v>
      </c>
      <c r="G76" s="97">
        <f t="shared" si="19"/>
        <v>11.75</v>
      </c>
      <c r="H76" s="97">
        <f t="shared" si="19"/>
        <v>1</v>
      </c>
      <c r="I76" s="17">
        <f>SUM(D76:H76)</f>
        <v>52.75</v>
      </c>
    </row>
    <row r="77" spans="1:9" x14ac:dyDescent="0.25">
      <c r="A77" s="56"/>
      <c r="B77" s="99" t="s">
        <v>28</v>
      </c>
      <c r="C77" s="94">
        <f t="shared" ref="C77:H77" si="20">C72+C43+C29+C31</f>
        <v>19.75</v>
      </c>
      <c r="D77" s="94">
        <f>D72+D43+D29+D31</f>
        <v>12.25</v>
      </c>
      <c r="E77" s="94">
        <f t="shared" si="20"/>
        <v>12.25</v>
      </c>
      <c r="F77" s="95">
        <f t="shared" si="20"/>
        <v>0</v>
      </c>
      <c r="G77" s="94">
        <f t="shared" si="20"/>
        <v>6.5</v>
      </c>
      <c r="H77" s="94">
        <f t="shared" si="20"/>
        <v>1</v>
      </c>
      <c r="I77" s="3">
        <f>SUM(D77:H77)</f>
        <v>32</v>
      </c>
    </row>
    <row r="78" spans="1:9" x14ac:dyDescent="0.25">
      <c r="A78" s="56"/>
      <c r="B78" s="99" t="s">
        <v>36</v>
      </c>
      <c r="C78" s="94">
        <f t="shared" ref="C78:H78" si="21">C73+C44+C32</f>
        <v>4.5</v>
      </c>
      <c r="D78" s="94">
        <f t="shared" si="21"/>
        <v>2.5</v>
      </c>
      <c r="E78" s="94">
        <f t="shared" si="21"/>
        <v>2.5</v>
      </c>
      <c r="F78" s="95">
        <f t="shared" si="21"/>
        <v>0</v>
      </c>
      <c r="G78" s="94">
        <f t="shared" si="21"/>
        <v>2</v>
      </c>
      <c r="H78" s="94">
        <f t="shared" si="21"/>
        <v>0</v>
      </c>
      <c r="I78" s="3">
        <f>SUM(D78:H78)</f>
        <v>7</v>
      </c>
    </row>
    <row r="79" spans="1:9" x14ac:dyDescent="0.25">
      <c r="A79" s="56"/>
      <c r="B79" s="99" t="s">
        <v>340</v>
      </c>
      <c r="C79" s="94">
        <f t="shared" ref="C79:H79" si="22">C33</f>
        <v>0.5</v>
      </c>
      <c r="D79" s="94">
        <f t="shared" si="22"/>
        <v>0.25</v>
      </c>
      <c r="E79" s="94">
        <f t="shared" si="22"/>
        <v>0.25</v>
      </c>
      <c r="F79" s="95">
        <f t="shared" si="22"/>
        <v>0</v>
      </c>
      <c r="G79" s="94">
        <f t="shared" si="22"/>
        <v>0.25</v>
      </c>
      <c r="H79" s="94">
        <f t="shared" si="22"/>
        <v>0</v>
      </c>
      <c r="I79" s="3"/>
    </row>
    <row r="80" spans="1:9" x14ac:dyDescent="0.25">
      <c r="A80" s="56"/>
      <c r="B80" s="99" t="s">
        <v>37</v>
      </c>
      <c r="C80" s="94">
        <f t="shared" ref="C80:H80" si="23">C74+C46</f>
        <v>8</v>
      </c>
      <c r="D80" s="94">
        <f t="shared" si="23"/>
        <v>5</v>
      </c>
      <c r="E80" s="94">
        <f t="shared" si="23"/>
        <v>5</v>
      </c>
      <c r="F80" s="95">
        <f t="shared" si="23"/>
        <v>0</v>
      </c>
      <c r="G80" s="94">
        <f t="shared" si="23"/>
        <v>3</v>
      </c>
      <c r="H80" s="94">
        <f t="shared" si="23"/>
        <v>0</v>
      </c>
      <c r="I80" s="3">
        <f>SUM(D80:H80)</f>
        <v>13</v>
      </c>
    </row>
    <row r="81" spans="1:8" ht="18.75" x14ac:dyDescent="0.3">
      <c r="A81" s="100"/>
      <c r="B81" s="101" t="s">
        <v>38</v>
      </c>
      <c r="C81" s="91"/>
      <c r="D81" s="91"/>
      <c r="E81" s="91"/>
      <c r="F81" s="92"/>
      <c r="G81" s="60"/>
      <c r="H81" s="61"/>
    </row>
    <row r="82" spans="1:8" x14ac:dyDescent="0.25">
      <c r="A82" s="100"/>
      <c r="B82" s="62" t="s">
        <v>39</v>
      </c>
      <c r="C82" s="91"/>
      <c r="D82" s="91"/>
      <c r="E82" s="91"/>
      <c r="F82" s="92"/>
      <c r="G82" s="60"/>
      <c r="H82" s="61"/>
    </row>
    <row r="83" spans="1:8" x14ac:dyDescent="0.25">
      <c r="A83" s="61">
        <v>1</v>
      </c>
      <c r="B83" s="86" t="s">
        <v>40</v>
      </c>
      <c r="C83" s="66">
        <v>1</v>
      </c>
      <c r="D83" s="66">
        <f t="shared" ref="D83:D88" si="24">C83-G83-H83</f>
        <v>0.5</v>
      </c>
      <c r="E83" s="66">
        <f t="shared" ref="E83:E88" si="25">D83-F83</f>
        <v>0.5</v>
      </c>
      <c r="F83" s="67"/>
      <c r="G83" s="102">
        <v>0.5</v>
      </c>
      <c r="H83" s="68"/>
    </row>
    <row r="84" spans="1:8" ht="26.25" x14ac:dyDescent="0.25">
      <c r="A84" s="61">
        <v>2</v>
      </c>
      <c r="B84" s="103" t="s">
        <v>41</v>
      </c>
      <c r="C84" s="66">
        <v>1</v>
      </c>
      <c r="D84" s="66">
        <f t="shared" si="24"/>
        <v>0.5</v>
      </c>
      <c r="E84" s="66">
        <f t="shared" si="25"/>
        <v>0.5</v>
      </c>
      <c r="F84" s="67"/>
      <c r="G84" s="102">
        <f>0.25+0.25</f>
        <v>0.5</v>
      </c>
      <c r="H84" s="68"/>
    </row>
    <row r="85" spans="1:8" ht="26.25" x14ac:dyDescent="0.25">
      <c r="A85" s="61">
        <v>3</v>
      </c>
      <c r="B85" s="103" t="s">
        <v>42</v>
      </c>
      <c r="C85" s="66">
        <v>1</v>
      </c>
      <c r="D85" s="66">
        <f t="shared" si="24"/>
        <v>0.5</v>
      </c>
      <c r="E85" s="66">
        <f t="shared" si="25"/>
        <v>0.5</v>
      </c>
      <c r="F85" s="67"/>
      <c r="G85" s="102">
        <v>0.5</v>
      </c>
      <c r="H85" s="68"/>
    </row>
    <row r="86" spans="1:8" x14ac:dyDescent="0.25">
      <c r="A86" s="61">
        <v>4</v>
      </c>
      <c r="B86" s="76" t="s">
        <v>43</v>
      </c>
      <c r="C86" s="68">
        <v>1</v>
      </c>
      <c r="D86" s="68">
        <f t="shared" si="24"/>
        <v>0.5</v>
      </c>
      <c r="E86" s="66">
        <f t="shared" si="25"/>
        <v>0.5</v>
      </c>
      <c r="F86" s="71"/>
      <c r="G86" s="102">
        <v>0.5</v>
      </c>
      <c r="H86" s="68"/>
    </row>
    <row r="87" spans="1:8" x14ac:dyDescent="0.25">
      <c r="A87" s="61">
        <v>5</v>
      </c>
      <c r="B87" s="76" t="s">
        <v>44</v>
      </c>
      <c r="C87" s="68">
        <v>1</v>
      </c>
      <c r="D87" s="68">
        <f t="shared" si="24"/>
        <v>0.5</v>
      </c>
      <c r="E87" s="66">
        <f t="shared" si="25"/>
        <v>0.5</v>
      </c>
      <c r="F87" s="71"/>
      <c r="G87" s="60">
        <v>0.5</v>
      </c>
      <c r="H87" s="68"/>
    </row>
    <row r="88" spans="1:8" x14ac:dyDescent="0.25">
      <c r="A88" s="61">
        <v>6</v>
      </c>
      <c r="B88" s="76" t="s">
        <v>45</v>
      </c>
      <c r="C88" s="68">
        <v>16</v>
      </c>
      <c r="D88" s="68">
        <f t="shared" si="24"/>
        <v>1.75</v>
      </c>
      <c r="E88" s="66">
        <f t="shared" si="25"/>
        <v>1.75</v>
      </c>
      <c r="F88" s="71"/>
      <c r="G88" s="60">
        <f>8+6.25</f>
        <v>14.25</v>
      </c>
      <c r="H88" s="68"/>
    </row>
    <row r="89" spans="1:8" x14ac:dyDescent="0.25">
      <c r="A89" s="61"/>
      <c r="B89" s="72" t="s">
        <v>20</v>
      </c>
      <c r="C89" s="73">
        <f t="shared" ref="C89:H89" si="26">SUM(C83:C88)</f>
        <v>21</v>
      </c>
      <c r="D89" s="73">
        <f t="shared" si="26"/>
        <v>4.25</v>
      </c>
      <c r="E89" s="73">
        <f t="shared" si="26"/>
        <v>4.25</v>
      </c>
      <c r="F89" s="74">
        <f t="shared" si="26"/>
        <v>0</v>
      </c>
      <c r="G89" s="73">
        <f t="shared" si="26"/>
        <v>16.75</v>
      </c>
      <c r="H89" s="75">
        <f t="shared" si="26"/>
        <v>0</v>
      </c>
    </row>
    <row r="90" spans="1:8" x14ac:dyDescent="0.25">
      <c r="A90" s="61"/>
      <c r="B90" s="72"/>
      <c r="C90" s="73"/>
      <c r="D90" s="73"/>
      <c r="E90" s="73"/>
      <c r="F90" s="74"/>
      <c r="G90" s="73"/>
      <c r="H90" s="75"/>
    </row>
    <row r="91" spans="1:8" ht="15.75" x14ac:dyDescent="0.25">
      <c r="A91" s="61"/>
      <c r="B91" s="79" t="s">
        <v>46</v>
      </c>
      <c r="C91" s="104"/>
      <c r="D91" s="104"/>
      <c r="E91" s="104"/>
      <c r="F91" s="105"/>
      <c r="G91" s="60"/>
      <c r="H91" s="61"/>
    </row>
    <row r="92" spans="1:8" x14ac:dyDescent="0.25">
      <c r="A92" s="61">
        <v>1</v>
      </c>
      <c r="B92" s="86" t="s">
        <v>23</v>
      </c>
      <c r="C92" s="66">
        <v>1</v>
      </c>
      <c r="D92" s="66">
        <f>C92-G92-H92</f>
        <v>0</v>
      </c>
      <c r="E92" s="66">
        <f>D92-F92</f>
        <v>0</v>
      </c>
      <c r="F92" s="67"/>
      <c r="G92" s="102">
        <v>1</v>
      </c>
      <c r="H92" s="68"/>
    </row>
    <row r="93" spans="1:8" x14ac:dyDescent="0.25">
      <c r="A93" s="61">
        <v>2</v>
      </c>
      <c r="B93" s="76" t="s">
        <v>35</v>
      </c>
      <c r="C93" s="68">
        <f>3-1</f>
        <v>2</v>
      </c>
      <c r="D93" s="68">
        <f>C93-G93-H93</f>
        <v>0</v>
      </c>
      <c r="E93" s="66">
        <f>D93-F93</f>
        <v>0</v>
      </c>
      <c r="F93" s="71"/>
      <c r="G93" s="102">
        <f>3-1</f>
        <v>2</v>
      </c>
      <c r="H93" s="68"/>
    </row>
    <row r="94" spans="1:8" x14ac:dyDescent="0.25">
      <c r="A94" s="61"/>
      <c r="B94" s="106" t="s">
        <v>20</v>
      </c>
      <c r="C94" s="73">
        <f t="shared" ref="C94:H94" si="27">SUM(C92:C93)</f>
        <v>3</v>
      </c>
      <c r="D94" s="73">
        <f t="shared" si="27"/>
        <v>0</v>
      </c>
      <c r="E94" s="73">
        <f t="shared" si="27"/>
        <v>0</v>
      </c>
      <c r="F94" s="74">
        <f t="shared" si="27"/>
        <v>0</v>
      </c>
      <c r="G94" s="73">
        <f t="shared" si="27"/>
        <v>3</v>
      </c>
      <c r="H94" s="73">
        <f t="shared" si="27"/>
        <v>0</v>
      </c>
    </row>
    <row r="95" spans="1:8" x14ac:dyDescent="0.25">
      <c r="A95" s="107" t="s">
        <v>576</v>
      </c>
      <c r="B95" s="108"/>
      <c r="C95" s="107"/>
      <c r="D95" s="109"/>
      <c r="E95" s="109"/>
      <c r="F95" s="110"/>
      <c r="G95" s="60"/>
      <c r="H95" s="61"/>
    </row>
    <row r="96" spans="1:8" x14ac:dyDescent="0.25">
      <c r="A96" s="111">
        <v>1</v>
      </c>
      <c r="B96" s="112" t="s">
        <v>47</v>
      </c>
      <c r="C96" s="111">
        <v>0.25</v>
      </c>
      <c r="D96" s="113">
        <f>C96-G96-H96</f>
        <v>0</v>
      </c>
      <c r="E96" s="66">
        <f>D96-F96</f>
        <v>0</v>
      </c>
      <c r="F96" s="114"/>
      <c r="G96" s="61">
        <v>0.25</v>
      </c>
      <c r="H96" s="61"/>
    </row>
    <row r="97" spans="1:9" x14ac:dyDescent="0.25">
      <c r="A97" s="111">
        <v>2</v>
      </c>
      <c r="B97" s="115" t="s">
        <v>32</v>
      </c>
      <c r="C97" s="113">
        <v>2.25</v>
      </c>
      <c r="D97" s="113">
        <f>C97-G97-H97</f>
        <v>0</v>
      </c>
      <c r="E97" s="66">
        <f>D97-F97</f>
        <v>0</v>
      </c>
      <c r="F97" s="114"/>
      <c r="G97" s="113">
        <v>2.25</v>
      </c>
      <c r="H97" s="61"/>
    </row>
    <row r="98" spans="1:9" x14ac:dyDescent="0.25">
      <c r="A98" s="111">
        <v>3</v>
      </c>
      <c r="B98" s="115" t="s">
        <v>48</v>
      </c>
      <c r="C98" s="113">
        <v>1.25</v>
      </c>
      <c r="D98" s="113">
        <f>C98-G98-H98</f>
        <v>0</v>
      </c>
      <c r="E98" s="66">
        <f>D98-F98</f>
        <v>0</v>
      </c>
      <c r="F98" s="114"/>
      <c r="G98" s="113">
        <v>1.25</v>
      </c>
      <c r="H98" s="61"/>
    </row>
    <row r="99" spans="1:9" x14ac:dyDescent="0.25">
      <c r="A99" s="116" t="s">
        <v>49</v>
      </c>
      <c r="B99" s="5"/>
      <c r="C99" s="109">
        <f t="shared" ref="C99:H99" si="28">SUM(C96:C98)</f>
        <v>3.75</v>
      </c>
      <c r="D99" s="117">
        <f t="shared" si="28"/>
        <v>0</v>
      </c>
      <c r="E99" s="117">
        <f t="shared" si="28"/>
        <v>0</v>
      </c>
      <c r="F99" s="118">
        <f t="shared" si="28"/>
        <v>0</v>
      </c>
      <c r="G99" s="117">
        <f t="shared" si="28"/>
        <v>3.75</v>
      </c>
      <c r="H99" s="117">
        <f t="shared" si="28"/>
        <v>0</v>
      </c>
    </row>
    <row r="100" spans="1:9" x14ac:dyDescent="0.25">
      <c r="A100" s="60"/>
      <c r="B100" s="60"/>
      <c r="C100" s="60"/>
      <c r="D100" s="60"/>
      <c r="E100" s="60"/>
      <c r="F100" s="119"/>
      <c r="G100" s="60"/>
      <c r="H100" s="60"/>
    </row>
    <row r="101" spans="1:9" x14ac:dyDescent="0.25">
      <c r="A101" s="60"/>
      <c r="B101" s="60"/>
      <c r="C101" s="60"/>
      <c r="D101" s="60"/>
      <c r="E101" s="60"/>
      <c r="F101" s="119"/>
      <c r="G101" s="60"/>
      <c r="H101" s="60"/>
    </row>
    <row r="102" spans="1:9" x14ac:dyDescent="0.25">
      <c r="A102" s="56"/>
      <c r="B102" s="120" t="s">
        <v>136</v>
      </c>
      <c r="C102" s="68"/>
      <c r="D102" s="68"/>
      <c r="E102" s="68"/>
      <c r="F102" s="71"/>
      <c r="G102" s="60"/>
      <c r="H102" s="61"/>
    </row>
    <row r="103" spans="1:9" x14ac:dyDescent="0.25">
      <c r="A103" s="61">
        <v>1</v>
      </c>
      <c r="B103" s="76" t="s">
        <v>50</v>
      </c>
      <c r="C103" s="68">
        <v>1</v>
      </c>
      <c r="D103" s="68">
        <f>C103-G103-H103</f>
        <v>0</v>
      </c>
      <c r="E103" s="66">
        <f>D103-F103</f>
        <v>0</v>
      </c>
      <c r="F103" s="71"/>
      <c r="G103" s="102">
        <v>1</v>
      </c>
      <c r="H103" s="68"/>
    </row>
    <row r="104" spans="1:9" x14ac:dyDescent="0.25">
      <c r="A104" s="56">
        <v>2</v>
      </c>
      <c r="B104" s="76" t="s">
        <v>53</v>
      </c>
      <c r="C104" s="68">
        <v>1</v>
      </c>
      <c r="D104" s="68">
        <f>C104-G104-H104</f>
        <v>0</v>
      </c>
      <c r="E104" s="66">
        <f>D104-F104</f>
        <v>0</v>
      </c>
      <c r="F104" s="71"/>
      <c r="G104" s="102">
        <v>1</v>
      </c>
      <c r="H104" s="68"/>
    </row>
    <row r="105" spans="1:9" x14ac:dyDescent="0.25">
      <c r="A105" s="56">
        <v>3</v>
      </c>
      <c r="B105" s="76" t="s">
        <v>64</v>
      </c>
      <c r="C105" s="68">
        <v>0.75</v>
      </c>
      <c r="D105" s="68">
        <f>C105-G105-H105</f>
        <v>0</v>
      </c>
      <c r="E105" s="66">
        <f>D105-F105</f>
        <v>0</v>
      </c>
      <c r="F105" s="71"/>
      <c r="G105" s="102">
        <v>0.75</v>
      </c>
      <c r="H105" s="68"/>
    </row>
    <row r="106" spans="1:9" x14ac:dyDescent="0.25">
      <c r="A106" s="56"/>
      <c r="B106" s="72" t="s">
        <v>57</v>
      </c>
      <c r="C106" s="121">
        <f t="shared" ref="C106:H106" si="29">SUM(C103:C105)</f>
        <v>2.75</v>
      </c>
      <c r="D106" s="121">
        <f t="shared" si="29"/>
        <v>0</v>
      </c>
      <c r="E106" s="121">
        <f t="shared" si="29"/>
        <v>0</v>
      </c>
      <c r="F106" s="122">
        <f t="shared" si="29"/>
        <v>0</v>
      </c>
      <c r="G106" s="121">
        <f t="shared" si="29"/>
        <v>2.75</v>
      </c>
      <c r="H106" s="121">
        <f t="shared" si="29"/>
        <v>0</v>
      </c>
    </row>
    <row r="107" spans="1:9" x14ac:dyDescent="0.25">
      <c r="A107" s="56"/>
      <c r="B107" s="120" t="s">
        <v>77</v>
      </c>
      <c r="C107" s="68"/>
      <c r="D107" s="68"/>
      <c r="E107" s="68"/>
      <c r="F107" s="71"/>
      <c r="G107" s="102"/>
      <c r="H107" s="61"/>
    </row>
    <row r="108" spans="1:9" ht="26.25" x14ac:dyDescent="0.25">
      <c r="A108" s="61">
        <v>1</v>
      </c>
      <c r="B108" s="88" t="s">
        <v>78</v>
      </c>
      <c r="C108" s="66">
        <v>9.25</v>
      </c>
      <c r="D108" s="66">
        <f>C108-G108-H108</f>
        <v>1.25</v>
      </c>
      <c r="E108" s="66">
        <f>D108-F108</f>
        <v>1.25</v>
      </c>
      <c r="F108" s="67"/>
      <c r="G108" s="102">
        <v>8</v>
      </c>
      <c r="H108" s="68"/>
    </row>
    <row r="109" spans="1:9" x14ac:dyDescent="0.25">
      <c r="A109" s="61">
        <v>2</v>
      </c>
      <c r="B109" s="76" t="s">
        <v>79</v>
      </c>
      <c r="C109" s="66">
        <f>8.25-0.5</f>
        <v>7.75</v>
      </c>
      <c r="D109" s="66">
        <f>C109-G109-H109</f>
        <v>0.75</v>
      </c>
      <c r="E109" s="66">
        <f>D109-F109</f>
        <v>0.75</v>
      </c>
      <c r="F109" s="67"/>
      <c r="G109" s="102">
        <v>7</v>
      </c>
      <c r="H109" s="68"/>
    </row>
    <row r="110" spans="1:9" x14ac:dyDescent="0.25">
      <c r="A110" s="61"/>
      <c r="B110" s="72" t="s">
        <v>57</v>
      </c>
      <c r="C110" s="73">
        <f t="shared" ref="C110:H110" si="30">SUM(C108:C109)</f>
        <v>17</v>
      </c>
      <c r="D110" s="73">
        <f t="shared" si="30"/>
        <v>2</v>
      </c>
      <c r="E110" s="73">
        <f t="shared" si="30"/>
        <v>2</v>
      </c>
      <c r="F110" s="74">
        <f t="shared" si="30"/>
        <v>0</v>
      </c>
      <c r="G110" s="73">
        <f t="shared" si="30"/>
        <v>15</v>
      </c>
      <c r="H110" s="75">
        <f t="shared" si="30"/>
        <v>0</v>
      </c>
    </row>
    <row r="111" spans="1:9" x14ac:dyDescent="0.25">
      <c r="A111" s="56"/>
      <c r="B111" s="33" t="s">
        <v>55</v>
      </c>
      <c r="C111" s="73"/>
      <c r="D111" s="73"/>
      <c r="E111" s="73"/>
      <c r="F111" s="74"/>
      <c r="G111" s="60"/>
      <c r="H111" s="61"/>
      <c r="I111" s="3"/>
    </row>
    <row r="112" spans="1:9" x14ac:dyDescent="0.25">
      <c r="A112" s="61">
        <v>1</v>
      </c>
      <c r="B112" s="76" t="s">
        <v>56</v>
      </c>
      <c r="C112" s="68">
        <v>1</v>
      </c>
      <c r="D112" s="68">
        <f>C112-G112-H112</f>
        <v>0</v>
      </c>
      <c r="E112" s="66">
        <f>D112-F112</f>
        <v>0</v>
      </c>
      <c r="F112" s="71"/>
      <c r="G112" s="102">
        <v>1</v>
      </c>
      <c r="H112" s="68"/>
    </row>
    <row r="113" spans="1:8" x14ac:dyDescent="0.25">
      <c r="A113" s="61">
        <v>2</v>
      </c>
      <c r="B113" s="76" t="s">
        <v>64</v>
      </c>
      <c r="C113" s="68">
        <v>1</v>
      </c>
      <c r="D113" s="68">
        <f>C113-G113-H113</f>
        <v>0</v>
      </c>
      <c r="E113" s="66">
        <f>D113-F113</f>
        <v>0</v>
      </c>
      <c r="F113" s="71"/>
      <c r="G113" s="102">
        <v>1</v>
      </c>
      <c r="H113" s="68"/>
    </row>
    <row r="114" spans="1:8" x14ac:dyDescent="0.25">
      <c r="A114" s="123"/>
      <c r="B114" s="72" t="s">
        <v>57</v>
      </c>
      <c r="C114" s="73">
        <f t="shared" ref="C114:H114" si="31">SUM(C112:C113)</f>
        <v>2</v>
      </c>
      <c r="D114" s="73">
        <f t="shared" si="31"/>
        <v>0</v>
      </c>
      <c r="E114" s="73">
        <f t="shared" si="31"/>
        <v>0</v>
      </c>
      <c r="F114" s="74">
        <f t="shared" si="31"/>
        <v>0</v>
      </c>
      <c r="G114" s="73">
        <f t="shared" si="31"/>
        <v>2</v>
      </c>
      <c r="H114" s="75">
        <f t="shared" si="31"/>
        <v>0</v>
      </c>
    </row>
    <row r="115" spans="1:8" x14ac:dyDescent="0.25">
      <c r="A115" s="61"/>
      <c r="B115" s="33" t="s">
        <v>58</v>
      </c>
      <c r="C115" s="68"/>
      <c r="D115" s="68"/>
      <c r="E115" s="68"/>
      <c r="F115" s="71"/>
      <c r="G115" s="60"/>
      <c r="H115" s="61"/>
    </row>
    <row r="116" spans="1:8" x14ac:dyDescent="0.25">
      <c r="A116" s="61">
        <v>1</v>
      </c>
      <c r="B116" s="76" t="s">
        <v>59</v>
      </c>
      <c r="C116" s="68">
        <v>2</v>
      </c>
      <c r="D116" s="68">
        <f>C116-G116-H116</f>
        <v>0</v>
      </c>
      <c r="E116" s="66">
        <f>D116-F116</f>
        <v>0</v>
      </c>
      <c r="F116" s="71"/>
      <c r="G116" s="102">
        <f>2-1</f>
        <v>1</v>
      </c>
      <c r="H116" s="68">
        <v>1</v>
      </c>
    </row>
    <row r="117" spans="1:8" x14ac:dyDescent="0.25">
      <c r="A117" s="56">
        <v>2</v>
      </c>
      <c r="B117" s="76" t="s">
        <v>64</v>
      </c>
      <c r="C117" s="68">
        <v>1.5</v>
      </c>
      <c r="D117" s="68">
        <f>C117-G117-H117</f>
        <v>0</v>
      </c>
      <c r="E117" s="66">
        <f>D117-F117</f>
        <v>0</v>
      </c>
      <c r="F117" s="71"/>
      <c r="G117" s="102">
        <v>1.5</v>
      </c>
      <c r="H117" s="68"/>
    </row>
    <row r="118" spans="1:8" x14ac:dyDescent="0.25">
      <c r="A118" s="123"/>
      <c r="B118" s="72" t="s">
        <v>57</v>
      </c>
      <c r="C118" s="73">
        <f t="shared" ref="C118:H118" si="32">SUM(C116:C117)</f>
        <v>3.5</v>
      </c>
      <c r="D118" s="73">
        <f t="shared" si="32"/>
        <v>0</v>
      </c>
      <c r="E118" s="73">
        <f t="shared" si="32"/>
        <v>0</v>
      </c>
      <c r="F118" s="74">
        <f t="shared" si="32"/>
        <v>0</v>
      </c>
      <c r="G118" s="73">
        <f t="shared" si="32"/>
        <v>2.5</v>
      </c>
      <c r="H118" s="75">
        <f t="shared" si="32"/>
        <v>1</v>
      </c>
    </row>
    <row r="119" spans="1:8" x14ac:dyDescent="0.25">
      <c r="A119" s="124"/>
      <c r="B119" s="33" t="s">
        <v>60</v>
      </c>
      <c r="C119" s="68"/>
      <c r="D119" s="68"/>
      <c r="E119" s="68"/>
      <c r="F119" s="71"/>
      <c r="G119" s="60"/>
      <c r="H119" s="61"/>
    </row>
    <row r="120" spans="1:8" x14ac:dyDescent="0.25">
      <c r="A120" s="61" t="s">
        <v>61</v>
      </c>
      <c r="B120" s="76" t="s">
        <v>62</v>
      </c>
      <c r="C120" s="68">
        <v>1.25</v>
      </c>
      <c r="D120" s="68">
        <f>C120-G120-H120</f>
        <v>0</v>
      </c>
      <c r="E120" s="66">
        <f>D120-F120</f>
        <v>0</v>
      </c>
      <c r="F120" s="71"/>
      <c r="G120" s="60">
        <v>1.25</v>
      </c>
      <c r="H120" s="68"/>
    </row>
    <row r="121" spans="1:8" x14ac:dyDescent="0.25">
      <c r="A121" s="61" t="s">
        <v>63</v>
      </c>
      <c r="B121" s="76" t="s">
        <v>64</v>
      </c>
      <c r="C121" s="68">
        <v>1</v>
      </c>
      <c r="D121" s="68">
        <f>C121-G121-H121</f>
        <v>0</v>
      </c>
      <c r="E121" s="66">
        <f>D121-F121</f>
        <v>0</v>
      </c>
      <c r="F121" s="71"/>
      <c r="G121" s="102">
        <v>1</v>
      </c>
      <c r="H121" s="68"/>
    </row>
    <row r="122" spans="1:8" x14ac:dyDescent="0.25">
      <c r="A122" s="61"/>
      <c r="B122" s="106" t="s">
        <v>57</v>
      </c>
      <c r="C122" s="73">
        <f t="shared" ref="C122:H122" si="33">SUM(C120:C121)</f>
        <v>2.25</v>
      </c>
      <c r="D122" s="73">
        <f t="shared" si="33"/>
        <v>0</v>
      </c>
      <c r="E122" s="73">
        <f t="shared" si="33"/>
        <v>0</v>
      </c>
      <c r="F122" s="74">
        <f t="shared" si="33"/>
        <v>0</v>
      </c>
      <c r="G122" s="73">
        <f t="shared" si="33"/>
        <v>2.25</v>
      </c>
      <c r="H122" s="75">
        <f t="shared" si="33"/>
        <v>0</v>
      </c>
    </row>
    <row r="123" spans="1:8" x14ac:dyDescent="0.25">
      <c r="A123" s="61"/>
      <c r="B123" s="33" t="s">
        <v>65</v>
      </c>
      <c r="C123" s="73"/>
      <c r="D123" s="73"/>
      <c r="E123" s="73"/>
      <c r="F123" s="74"/>
      <c r="G123" s="60"/>
      <c r="H123" s="61"/>
    </row>
    <row r="124" spans="1:8" x14ac:dyDescent="0.25">
      <c r="A124" s="61">
        <v>1</v>
      </c>
      <c r="B124" s="76" t="s">
        <v>66</v>
      </c>
      <c r="C124" s="68">
        <v>0.5</v>
      </c>
      <c r="D124" s="68">
        <f>C124-G124-H124</f>
        <v>0</v>
      </c>
      <c r="E124" s="66">
        <f>D124-F124</f>
        <v>0</v>
      </c>
      <c r="F124" s="71"/>
      <c r="G124" s="102">
        <v>0.5</v>
      </c>
      <c r="H124" s="68"/>
    </row>
    <row r="125" spans="1:8" x14ac:dyDescent="0.25">
      <c r="A125" s="61"/>
      <c r="B125" s="72" t="s">
        <v>57</v>
      </c>
      <c r="C125" s="73">
        <f t="shared" ref="C125:H125" si="34">SUM(C124:C124)</f>
        <v>0.5</v>
      </c>
      <c r="D125" s="73">
        <f t="shared" si="34"/>
        <v>0</v>
      </c>
      <c r="E125" s="73">
        <f t="shared" si="34"/>
        <v>0</v>
      </c>
      <c r="F125" s="74">
        <f t="shared" si="34"/>
        <v>0</v>
      </c>
      <c r="G125" s="73">
        <f t="shared" si="34"/>
        <v>0.5</v>
      </c>
      <c r="H125" s="75">
        <f t="shared" si="34"/>
        <v>0</v>
      </c>
    </row>
    <row r="126" spans="1:8" x14ac:dyDescent="0.25">
      <c r="A126" s="61"/>
      <c r="B126" s="33" t="s">
        <v>67</v>
      </c>
      <c r="C126" s="73"/>
      <c r="D126" s="73"/>
      <c r="E126" s="73"/>
      <c r="F126" s="74"/>
      <c r="G126" s="60"/>
      <c r="H126" s="61"/>
    </row>
    <row r="127" spans="1:8" x14ac:dyDescent="0.25">
      <c r="A127" s="61">
        <v>1</v>
      </c>
      <c r="B127" s="76" t="s">
        <v>68</v>
      </c>
      <c r="C127" s="66">
        <f>2.25-0.25</f>
        <v>2</v>
      </c>
      <c r="D127" s="66">
        <f>C127-G127-H127</f>
        <v>0</v>
      </c>
      <c r="E127" s="66">
        <f>D127-F127</f>
        <v>0</v>
      </c>
      <c r="F127" s="67"/>
      <c r="G127" s="102">
        <v>2</v>
      </c>
      <c r="H127" s="68"/>
    </row>
    <row r="128" spans="1:8" x14ac:dyDescent="0.25">
      <c r="A128" s="61">
        <v>2</v>
      </c>
      <c r="B128" s="76" t="s">
        <v>64</v>
      </c>
      <c r="C128" s="66">
        <f>1.5+0.5</f>
        <v>2</v>
      </c>
      <c r="D128" s="66">
        <f>C128-G128-H128</f>
        <v>0</v>
      </c>
      <c r="E128" s="66">
        <f>D128-F128</f>
        <v>0</v>
      </c>
      <c r="F128" s="67"/>
      <c r="G128" s="102">
        <f>1.5+0.5</f>
        <v>2</v>
      </c>
      <c r="H128" s="68"/>
    </row>
    <row r="129" spans="1:8" x14ac:dyDescent="0.25">
      <c r="A129" s="61"/>
      <c r="B129" s="72" t="s">
        <v>57</v>
      </c>
      <c r="C129" s="73">
        <f t="shared" ref="C129:H129" si="35">SUM(C127:C128)</f>
        <v>4</v>
      </c>
      <c r="D129" s="73">
        <f t="shared" si="35"/>
        <v>0</v>
      </c>
      <c r="E129" s="73">
        <f t="shared" si="35"/>
        <v>0</v>
      </c>
      <c r="F129" s="74">
        <f t="shared" si="35"/>
        <v>0</v>
      </c>
      <c r="G129" s="73">
        <f t="shared" si="35"/>
        <v>4</v>
      </c>
      <c r="H129" s="75">
        <f t="shared" si="35"/>
        <v>0</v>
      </c>
    </row>
    <row r="130" spans="1:8" x14ac:dyDescent="0.25">
      <c r="A130" s="61"/>
      <c r="B130" s="33" t="s">
        <v>69</v>
      </c>
      <c r="C130" s="73"/>
      <c r="D130" s="73"/>
      <c r="E130" s="73"/>
      <c r="F130" s="74"/>
      <c r="G130" s="60"/>
      <c r="H130" s="61"/>
    </row>
    <row r="131" spans="1:8" x14ac:dyDescent="0.25">
      <c r="A131" s="61">
        <v>1</v>
      </c>
      <c r="B131" s="76" t="s">
        <v>70</v>
      </c>
      <c r="C131" s="66">
        <v>0.5</v>
      </c>
      <c r="D131" s="66">
        <f>C131-G131-H131</f>
        <v>0</v>
      </c>
      <c r="E131" s="66">
        <f>D131-F131</f>
        <v>0</v>
      </c>
      <c r="F131" s="67"/>
      <c r="G131" s="102">
        <v>0.5</v>
      </c>
      <c r="H131" s="68"/>
    </row>
    <row r="132" spans="1:8" x14ac:dyDescent="0.25">
      <c r="A132" s="61">
        <v>2</v>
      </c>
      <c r="B132" s="76" t="s">
        <v>64</v>
      </c>
      <c r="C132" s="66">
        <v>0.5</v>
      </c>
      <c r="D132" s="66">
        <f>C132-G132-H132</f>
        <v>0</v>
      </c>
      <c r="E132" s="66">
        <f>D132-F132</f>
        <v>0</v>
      </c>
      <c r="F132" s="67"/>
      <c r="G132" s="102">
        <v>0.5</v>
      </c>
      <c r="H132" s="68"/>
    </row>
    <row r="133" spans="1:8" x14ac:dyDescent="0.25">
      <c r="A133" s="61"/>
      <c r="B133" s="72" t="s">
        <v>57</v>
      </c>
      <c r="C133" s="73">
        <f t="shared" ref="C133:H133" si="36">SUM(C131:C132)</f>
        <v>1</v>
      </c>
      <c r="D133" s="73">
        <f t="shared" si="36"/>
        <v>0</v>
      </c>
      <c r="E133" s="73">
        <f t="shared" si="36"/>
        <v>0</v>
      </c>
      <c r="F133" s="74">
        <f t="shared" si="36"/>
        <v>0</v>
      </c>
      <c r="G133" s="73">
        <f t="shared" si="36"/>
        <v>1</v>
      </c>
      <c r="H133" s="75">
        <f t="shared" si="36"/>
        <v>0</v>
      </c>
    </row>
    <row r="134" spans="1:8" x14ac:dyDescent="0.25">
      <c r="A134" s="124"/>
      <c r="B134" s="33" t="s">
        <v>80</v>
      </c>
      <c r="C134" s="58"/>
      <c r="D134" s="58"/>
      <c r="E134" s="58"/>
      <c r="F134" s="59"/>
      <c r="G134" s="60"/>
      <c r="H134" s="61"/>
    </row>
    <row r="135" spans="1:8" x14ac:dyDescent="0.25">
      <c r="A135" s="124">
        <v>1</v>
      </c>
      <c r="B135" s="76" t="s">
        <v>81</v>
      </c>
      <c r="C135" s="68">
        <v>3</v>
      </c>
      <c r="D135" s="68">
        <f>C135-G135-H135</f>
        <v>1</v>
      </c>
      <c r="E135" s="66">
        <f>D135-F135</f>
        <v>1</v>
      </c>
      <c r="F135" s="71"/>
      <c r="G135" s="102">
        <v>2</v>
      </c>
      <c r="H135" s="68"/>
    </row>
    <row r="136" spans="1:8" x14ac:dyDescent="0.25">
      <c r="A136" s="124">
        <v>2</v>
      </c>
      <c r="B136" s="125" t="s">
        <v>64</v>
      </c>
      <c r="C136" s="68">
        <v>2</v>
      </c>
      <c r="D136" s="68">
        <f>C136-G136-H136</f>
        <v>1</v>
      </c>
      <c r="E136" s="66">
        <f>D136-F136</f>
        <v>1</v>
      </c>
      <c r="F136" s="71"/>
      <c r="G136" s="102">
        <v>1</v>
      </c>
      <c r="H136" s="68"/>
    </row>
    <row r="137" spans="1:8" x14ac:dyDescent="0.25">
      <c r="A137" s="124"/>
      <c r="B137" s="72" t="s">
        <v>57</v>
      </c>
      <c r="C137" s="73">
        <f t="shared" ref="C137:H137" si="37">SUM(C135:C136)</f>
        <v>5</v>
      </c>
      <c r="D137" s="73">
        <f t="shared" si="37"/>
        <v>2</v>
      </c>
      <c r="E137" s="73">
        <f t="shared" si="37"/>
        <v>2</v>
      </c>
      <c r="F137" s="73">
        <f t="shared" si="37"/>
        <v>0</v>
      </c>
      <c r="G137" s="73">
        <f t="shared" si="37"/>
        <v>3</v>
      </c>
      <c r="H137" s="73">
        <f t="shared" si="37"/>
        <v>0</v>
      </c>
    </row>
    <row r="138" spans="1:8" x14ac:dyDescent="0.25">
      <c r="A138" s="61"/>
      <c r="B138" s="33" t="s">
        <v>82</v>
      </c>
      <c r="C138" s="68"/>
      <c r="D138" s="68"/>
      <c r="E138" s="68"/>
      <c r="F138" s="71"/>
      <c r="G138" s="60"/>
      <c r="H138" s="61"/>
    </row>
    <row r="139" spans="1:8" x14ac:dyDescent="0.25">
      <c r="A139" s="61" t="s">
        <v>61</v>
      </c>
      <c r="B139" s="76" t="s">
        <v>83</v>
      </c>
      <c r="C139" s="68">
        <v>2</v>
      </c>
      <c r="D139" s="68">
        <f>C139-G139-H139</f>
        <v>1</v>
      </c>
      <c r="E139" s="66">
        <f>D139-F139</f>
        <v>1</v>
      </c>
      <c r="F139" s="71"/>
      <c r="G139" s="102">
        <v>1</v>
      </c>
      <c r="H139" s="68"/>
    </row>
    <row r="140" spans="1:8" x14ac:dyDescent="0.25">
      <c r="A140" s="61">
        <v>2</v>
      </c>
      <c r="B140" s="60" t="s">
        <v>51</v>
      </c>
      <c r="C140" s="68">
        <v>0.5</v>
      </c>
      <c r="D140" s="68">
        <f>C140-G140-H140</f>
        <v>0.5</v>
      </c>
      <c r="E140" s="66">
        <f>D140-F140</f>
        <v>0.5</v>
      </c>
      <c r="F140" s="71"/>
      <c r="G140" s="60"/>
      <c r="H140" s="68"/>
    </row>
    <row r="141" spans="1:8" x14ac:dyDescent="0.25">
      <c r="A141" s="61">
        <v>3</v>
      </c>
      <c r="B141" s="126" t="s">
        <v>577</v>
      </c>
      <c r="C141" s="68">
        <v>2.5</v>
      </c>
      <c r="D141" s="68">
        <f>C141-G141-H141</f>
        <v>1.5</v>
      </c>
      <c r="E141" s="66">
        <f>D141-F141</f>
        <v>1.5</v>
      </c>
      <c r="F141" s="71"/>
      <c r="G141" s="102">
        <v>1</v>
      </c>
      <c r="H141" s="68"/>
    </row>
    <row r="142" spans="1:8" x14ac:dyDescent="0.25">
      <c r="A142" s="123"/>
      <c r="B142" s="72" t="s">
        <v>54</v>
      </c>
      <c r="C142" s="73">
        <f t="shared" ref="C142:H142" si="38">SUM(C139:C141)</f>
        <v>5</v>
      </c>
      <c r="D142" s="73">
        <f t="shared" si="38"/>
        <v>3</v>
      </c>
      <c r="E142" s="73">
        <f t="shared" si="38"/>
        <v>3</v>
      </c>
      <c r="F142" s="74">
        <f t="shared" si="38"/>
        <v>0</v>
      </c>
      <c r="G142" s="73">
        <f t="shared" si="38"/>
        <v>2</v>
      </c>
      <c r="H142" s="75">
        <f t="shared" si="38"/>
        <v>0</v>
      </c>
    </row>
    <row r="143" spans="1:8" x14ac:dyDescent="0.25">
      <c r="A143" s="123"/>
      <c r="B143" s="72"/>
      <c r="C143" s="73"/>
      <c r="D143" s="73"/>
      <c r="E143" s="73"/>
      <c r="F143" s="74"/>
      <c r="G143" s="73"/>
      <c r="H143" s="75"/>
    </row>
    <row r="144" spans="1:8" x14ac:dyDescent="0.25">
      <c r="A144" s="61"/>
      <c r="B144" s="33" t="s">
        <v>84</v>
      </c>
      <c r="C144" s="68"/>
      <c r="D144" s="68"/>
      <c r="E144" s="68"/>
      <c r="F144" s="71"/>
      <c r="G144" s="60"/>
      <c r="H144" s="61"/>
    </row>
    <row r="145" spans="1:9" x14ac:dyDescent="0.25">
      <c r="A145" s="61" t="s">
        <v>61</v>
      </c>
      <c r="B145" s="76" t="s">
        <v>85</v>
      </c>
      <c r="C145" s="68">
        <v>2</v>
      </c>
      <c r="D145" s="68">
        <f>C145-G145-H145</f>
        <v>0</v>
      </c>
      <c r="E145" s="66">
        <f>D145-F145</f>
        <v>0</v>
      </c>
      <c r="F145" s="71"/>
      <c r="G145" s="102">
        <v>1</v>
      </c>
      <c r="H145" s="68">
        <v>1</v>
      </c>
    </row>
    <row r="146" spans="1:9" x14ac:dyDescent="0.25">
      <c r="A146" s="61">
        <v>2</v>
      </c>
      <c r="B146" s="76" t="s">
        <v>64</v>
      </c>
      <c r="C146" s="68">
        <v>1.5</v>
      </c>
      <c r="D146" s="68">
        <f>C146-G146-H146</f>
        <v>0.5</v>
      </c>
      <c r="E146" s="66">
        <f>D146-F146</f>
        <v>0.5</v>
      </c>
      <c r="F146" s="71"/>
      <c r="G146" s="102">
        <v>1</v>
      </c>
      <c r="H146" s="68"/>
    </row>
    <row r="147" spans="1:9" x14ac:dyDescent="0.25">
      <c r="A147" s="61">
        <v>3</v>
      </c>
      <c r="B147" s="76" t="s">
        <v>86</v>
      </c>
      <c r="C147" s="68">
        <f>2.5-0.5-1</f>
        <v>1</v>
      </c>
      <c r="D147" s="68">
        <f>C147-G147-H147</f>
        <v>0</v>
      </c>
      <c r="E147" s="66">
        <f>D147-F147</f>
        <v>0</v>
      </c>
      <c r="F147" s="71"/>
      <c r="G147" s="102">
        <f>1-1</f>
        <v>0</v>
      </c>
      <c r="H147" s="68">
        <v>1</v>
      </c>
    </row>
    <row r="148" spans="1:9" x14ac:dyDescent="0.25">
      <c r="A148" s="61"/>
      <c r="B148" s="72" t="s">
        <v>57</v>
      </c>
      <c r="C148" s="73">
        <f t="shared" ref="C148:H148" si="39">SUM(C145:C147)</f>
        <v>4.5</v>
      </c>
      <c r="D148" s="73">
        <f t="shared" si="39"/>
        <v>0.5</v>
      </c>
      <c r="E148" s="73">
        <f t="shared" si="39"/>
        <v>0.5</v>
      </c>
      <c r="F148" s="74">
        <f t="shared" si="39"/>
        <v>0</v>
      </c>
      <c r="G148" s="73">
        <f t="shared" si="39"/>
        <v>2</v>
      </c>
      <c r="H148" s="75">
        <f t="shared" si="39"/>
        <v>2</v>
      </c>
    </row>
    <row r="149" spans="1:9" x14ac:dyDescent="0.25">
      <c r="A149" s="123"/>
      <c r="B149" s="33" t="s">
        <v>87</v>
      </c>
      <c r="C149" s="68"/>
      <c r="D149" s="68"/>
      <c r="E149" s="68"/>
      <c r="F149" s="71"/>
      <c r="G149" s="60"/>
      <c r="H149" s="61"/>
    </row>
    <row r="150" spans="1:9" x14ac:dyDescent="0.25">
      <c r="A150" s="56">
        <v>1</v>
      </c>
      <c r="B150" s="76" t="s">
        <v>88</v>
      </c>
      <c r="C150" s="68">
        <v>1</v>
      </c>
      <c r="D150" s="68">
        <f>C150-G150-H150</f>
        <v>0</v>
      </c>
      <c r="E150" s="66">
        <f>D150-F150</f>
        <v>0</v>
      </c>
      <c r="F150" s="71"/>
      <c r="G150" s="102">
        <v>1</v>
      </c>
      <c r="H150" s="68"/>
    </row>
    <row r="151" spans="1:9" x14ac:dyDescent="0.25">
      <c r="A151" s="61">
        <v>2</v>
      </c>
      <c r="B151" s="76" t="s">
        <v>64</v>
      </c>
      <c r="C151" s="68">
        <f>1+0.5</f>
        <v>1.5</v>
      </c>
      <c r="D151" s="68">
        <f>C151-G151-H151</f>
        <v>1</v>
      </c>
      <c r="E151" s="66">
        <f>D151-F151</f>
        <v>1</v>
      </c>
      <c r="F151" s="71"/>
      <c r="G151" s="60">
        <f>0.25+0.25</f>
        <v>0.5</v>
      </c>
      <c r="H151" s="68"/>
    </row>
    <row r="152" spans="1:9" x14ac:dyDescent="0.25">
      <c r="A152" s="61"/>
      <c r="B152" s="72" t="s">
        <v>57</v>
      </c>
      <c r="C152" s="73">
        <f t="shared" ref="C152:H152" si="40">SUM(C150:C151)</f>
        <v>2.5</v>
      </c>
      <c r="D152" s="73">
        <f t="shared" si="40"/>
        <v>1</v>
      </c>
      <c r="E152" s="73">
        <f t="shared" si="40"/>
        <v>1</v>
      </c>
      <c r="F152" s="74">
        <f t="shared" si="40"/>
        <v>0</v>
      </c>
      <c r="G152" s="73">
        <f t="shared" si="40"/>
        <v>1.5</v>
      </c>
      <c r="H152" s="75">
        <f t="shared" si="40"/>
        <v>0</v>
      </c>
    </row>
    <row r="153" spans="1:9" x14ac:dyDescent="0.25">
      <c r="A153" s="61"/>
      <c r="B153" s="33" t="s">
        <v>89</v>
      </c>
      <c r="C153" s="68"/>
      <c r="D153" s="68"/>
      <c r="E153" s="68"/>
      <c r="F153" s="71"/>
      <c r="G153" s="60"/>
      <c r="H153" s="61"/>
    </row>
    <row r="154" spans="1:9" x14ac:dyDescent="0.25">
      <c r="A154" s="61">
        <v>1</v>
      </c>
      <c r="B154" s="76" t="s">
        <v>90</v>
      </c>
      <c r="C154" s="68">
        <v>1.5</v>
      </c>
      <c r="D154" s="68">
        <f>C154-G154-H154</f>
        <v>0.75</v>
      </c>
      <c r="E154" s="66">
        <f>D154-F154</f>
        <v>0.75</v>
      </c>
      <c r="F154" s="71"/>
      <c r="G154" s="102">
        <f>0.5+0.25</f>
        <v>0.75</v>
      </c>
      <c r="H154" s="68"/>
    </row>
    <row r="155" spans="1:9" x14ac:dyDescent="0.25">
      <c r="A155" s="61">
        <v>2</v>
      </c>
      <c r="B155" s="76" t="s">
        <v>64</v>
      </c>
      <c r="C155" s="68">
        <v>2</v>
      </c>
      <c r="D155" s="68">
        <f>C155-G155-H155</f>
        <v>1</v>
      </c>
      <c r="E155" s="66">
        <f>D155-F155</f>
        <v>1</v>
      </c>
      <c r="F155" s="71"/>
      <c r="G155" s="102">
        <v>1</v>
      </c>
      <c r="H155" s="68"/>
    </row>
    <row r="156" spans="1:9" x14ac:dyDescent="0.25">
      <c r="A156" s="61"/>
      <c r="B156" s="72" t="s">
        <v>57</v>
      </c>
      <c r="C156" s="73">
        <f t="shared" ref="C156:H156" si="41">SUM(C154:C155)</f>
        <v>3.5</v>
      </c>
      <c r="D156" s="73">
        <f t="shared" si="41"/>
        <v>1.75</v>
      </c>
      <c r="E156" s="73">
        <f t="shared" si="41"/>
        <v>1.75</v>
      </c>
      <c r="F156" s="74">
        <f t="shared" si="41"/>
        <v>0</v>
      </c>
      <c r="G156" s="73">
        <f t="shared" si="41"/>
        <v>1.75</v>
      </c>
      <c r="H156" s="75">
        <f t="shared" si="41"/>
        <v>0</v>
      </c>
    </row>
    <row r="157" spans="1:9" x14ac:dyDescent="0.25">
      <c r="A157" s="61"/>
      <c r="B157" s="33" t="s">
        <v>91</v>
      </c>
      <c r="C157" s="68"/>
      <c r="D157" s="68"/>
      <c r="E157" s="68"/>
      <c r="F157" s="71"/>
      <c r="G157" s="60"/>
      <c r="H157" s="61"/>
    </row>
    <row r="158" spans="1:9" x14ac:dyDescent="0.25">
      <c r="A158" s="61">
        <v>1</v>
      </c>
      <c r="B158" s="76" t="s">
        <v>92</v>
      </c>
      <c r="C158" s="68">
        <v>1</v>
      </c>
      <c r="D158" s="68">
        <f>C158-G158-H158</f>
        <v>0</v>
      </c>
      <c r="E158" s="66">
        <f>D158-F158</f>
        <v>0</v>
      </c>
      <c r="F158" s="71"/>
      <c r="G158" s="102">
        <v>1</v>
      </c>
      <c r="H158" s="68"/>
    </row>
    <row r="159" spans="1:9" x14ac:dyDescent="0.25">
      <c r="A159" s="56">
        <v>2</v>
      </c>
      <c r="B159" s="76" t="s">
        <v>64</v>
      </c>
      <c r="C159" s="68">
        <v>1</v>
      </c>
      <c r="D159" s="68">
        <f>C159-G159-H159</f>
        <v>0</v>
      </c>
      <c r="E159" s="66">
        <f>D159-F159</f>
        <v>0</v>
      </c>
      <c r="F159" s="71"/>
      <c r="G159" s="102">
        <v>1</v>
      </c>
      <c r="H159" s="68"/>
      <c r="I159" s="3"/>
    </row>
    <row r="160" spans="1:9" x14ac:dyDescent="0.25">
      <c r="A160" s="61"/>
      <c r="B160" s="72" t="s">
        <v>57</v>
      </c>
      <c r="C160" s="73">
        <f t="shared" ref="C160:H160" si="42">SUM(C158:C159)</f>
        <v>2</v>
      </c>
      <c r="D160" s="73">
        <f t="shared" si="42"/>
        <v>0</v>
      </c>
      <c r="E160" s="73">
        <f t="shared" si="42"/>
        <v>0</v>
      </c>
      <c r="F160" s="74">
        <f t="shared" si="42"/>
        <v>0</v>
      </c>
      <c r="G160" s="73">
        <f t="shared" si="42"/>
        <v>2</v>
      </c>
      <c r="H160" s="75">
        <f t="shared" si="42"/>
        <v>0</v>
      </c>
    </row>
    <row r="161" spans="1:8" x14ac:dyDescent="0.25">
      <c r="A161" s="61"/>
      <c r="B161" s="82" t="s">
        <v>71</v>
      </c>
      <c r="C161" s="73">
        <f t="shared" ref="C161:H161" si="43">C106+C110+C114+C118+C122+C125+C129+C133+C137+C142+C148+C152+C156+C160</f>
        <v>55.5</v>
      </c>
      <c r="D161" s="73">
        <f t="shared" si="43"/>
        <v>10.25</v>
      </c>
      <c r="E161" s="73">
        <f>E106+E110+E114+E118+E122+E125+E129+E133+E137+E142+E148+E152+E156+E160</f>
        <v>10.25</v>
      </c>
      <c r="F161" s="74">
        <f t="shared" si="43"/>
        <v>0</v>
      </c>
      <c r="G161" s="73">
        <f t="shared" si="43"/>
        <v>42.25</v>
      </c>
      <c r="H161" s="73">
        <f t="shared" si="43"/>
        <v>3</v>
      </c>
    </row>
    <row r="162" spans="1:8" x14ac:dyDescent="0.25">
      <c r="A162" s="61"/>
      <c r="B162" s="72" t="s">
        <v>131</v>
      </c>
      <c r="C162" s="83">
        <f t="shared" ref="C162:H162" si="44">SUM(C163:C164)</f>
        <v>55.5</v>
      </c>
      <c r="D162" s="83">
        <f t="shared" si="44"/>
        <v>10.25</v>
      </c>
      <c r="E162" s="83">
        <f>SUM(E163:E164)</f>
        <v>10.25</v>
      </c>
      <c r="F162" s="84">
        <f t="shared" si="44"/>
        <v>0</v>
      </c>
      <c r="G162" s="83">
        <f t="shared" si="44"/>
        <v>42.25</v>
      </c>
      <c r="H162" s="83">
        <f t="shared" si="44"/>
        <v>3</v>
      </c>
    </row>
    <row r="163" spans="1:8" x14ac:dyDescent="0.25">
      <c r="A163" s="61"/>
      <c r="B163" s="127" t="s">
        <v>28</v>
      </c>
      <c r="C163" s="73">
        <f t="shared" ref="C163:H163" si="45">C103+C108+C112+C116+C120+C124+C127+C131+C135+C139+C140+C145+C150+C154+C158</f>
        <v>28.5</v>
      </c>
      <c r="D163" s="73">
        <f t="shared" si="45"/>
        <v>4.5</v>
      </c>
      <c r="E163" s="73">
        <f t="shared" si="45"/>
        <v>4.5</v>
      </c>
      <c r="F163" s="74">
        <f t="shared" si="45"/>
        <v>0</v>
      </c>
      <c r="G163" s="73">
        <f t="shared" si="45"/>
        <v>22</v>
      </c>
      <c r="H163" s="73">
        <f t="shared" si="45"/>
        <v>2</v>
      </c>
    </row>
    <row r="164" spans="1:8" x14ac:dyDescent="0.25">
      <c r="A164" s="61"/>
      <c r="B164" s="127" t="s">
        <v>36</v>
      </c>
      <c r="C164" s="73">
        <f t="shared" ref="C164:H164" si="46">C104+C105+C109+C113+C117+C121+C128+C132+C136+C141+C147+C151+C155+C159+C146</f>
        <v>27</v>
      </c>
      <c r="D164" s="73">
        <f t="shared" si="46"/>
        <v>5.75</v>
      </c>
      <c r="E164" s="73">
        <f t="shared" si="46"/>
        <v>5.75</v>
      </c>
      <c r="F164" s="74">
        <f t="shared" si="46"/>
        <v>0</v>
      </c>
      <c r="G164" s="73">
        <f t="shared" si="46"/>
        <v>20.25</v>
      </c>
      <c r="H164" s="73">
        <f t="shared" si="46"/>
        <v>1</v>
      </c>
    </row>
    <row r="165" spans="1:8" x14ac:dyDescent="0.25">
      <c r="A165" s="61"/>
      <c r="B165" s="33" t="s">
        <v>72</v>
      </c>
      <c r="C165" s="73"/>
      <c r="D165" s="73"/>
      <c r="E165" s="73"/>
      <c r="F165" s="74"/>
      <c r="G165" s="60"/>
      <c r="H165" s="61"/>
    </row>
    <row r="166" spans="1:8" x14ac:dyDescent="0.25">
      <c r="A166" s="61">
        <v>1</v>
      </c>
      <c r="B166" s="76" t="s">
        <v>73</v>
      </c>
      <c r="C166" s="66">
        <v>1</v>
      </c>
      <c r="D166" s="66">
        <f t="shared" ref="D166:D181" si="47">C166-G166-H166</f>
        <v>1</v>
      </c>
      <c r="E166" s="66">
        <f t="shared" ref="E166:E181" si="48">D166-F166</f>
        <v>1</v>
      </c>
      <c r="F166" s="67"/>
      <c r="G166" s="60"/>
      <c r="H166" s="68"/>
    </row>
    <row r="167" spans="1:8" x14ac:dyDescent="0.25">
      <c r="A167" s="61">
        <v>2</v>
      </c>
      <c r="B167" s="86" t="s">
        <v>74</v>
      </c>
      <c r="C167" s="66">
        <v>1</v>
      </c>
      <c r="D167" s="66">
        <f t="shared" si="47"/>
        <v>1</v>
      </c>
      <c r="E167" s="66">
        <f t="shared" si="48"/>
        <v>1</v>
      </c>
      <c r="F167" s="67"/>
      <c r="G167" s="60"/>
      <c r="H167" s="68"/>
    </row>
    <row r="168" spans="1:8" x14ac:dyDescent="0.25">
      <c r="A168" s="61">
        <v>3</v>
      </c>
      <c r="B168" s="60" t="s">
        <v>52</v>
      </c>
      <c r="C168" s="68">
        <v>0.25</v>
      </c>
      <c r="D168" s="68">
        <f t="shared" si="47"/>
        <v>0.25</v>
      </c>
      <c r="E168" s="66">
        <f t="shared" si="48"/>
        <v>0.25</v>
      </c>
      <c r="F168" s="71"/>
      <c r="G168" s="60"/>
      <c r="H168" s="68"/>
    </row>
    <row r="169" spans="1:8" x14ac:dyDescent="0.25">
      <c r="A169" s="61">
        <v>4</v>
      </c>
      <c r="B169" s="86" t="s">
        <v>75</v>
      </c>
      <c r="C169" s="66">
        <v>0.25</v>
      </c>
      <c r="D169" s="66">
        <f t="shared" si="47"/>
        <v>0.25</v>
      </c>
      <c r="E169" s="66">
        <f t="shared" si="48"/>
        <v>0.25</v>
      </c>
      <c r="F169" s="67"/>
      <c r="G169" s="60"/>
      <c r="H169" s="68"/>
    </row>
    <row r="170" spans="1:8" x14ac:dyDescent="0.25">
      <c r="A170" s="61">
        <v>5</v>
      </c>
      <c r="B170" s="86" t="s">
        <v>76</v>
      </c>
      <c r="C170" s="66">
        <v>0.25</v>
      </c>
      <c r="D170" s="66">
        <f t="shared" si="47"/>
        <v>0.25</v>
      </c>
      <c r="E170" s="66">
        <f t="shared" si="48"/>
        <v>0.25</v>
      </c>
      <c r="F170" s="67"/>
      <c r="G170" s="60"/>
      <c r="H170" s="68"/>
    </row>
    <row r="171" spans="1:8" ht="26.25" x14ac:dyDescent="0.25">
      <c r="A171" s="61">
        <v>6</v>
      </c>
      <c r="B171" s="88" t="s">
        <v>78</v>
      </c>
      <c r="C171" s="66">
        <v>2</v>
      </c>
      <c r="D171" s="66">
        <f t="shared" si="47"/>
        <v>1</v>
      </c>
      <c r="E171" s="66">
        <f t="shared" si="48"/>
        <v>1</v>
      </c>
      <c r="F171" s="67"/>
      <c r="G171" s="102">
        <v>1</v>
      </c>
      <c r="H171" s="68"/>
    </row>
    <row r="172" spans="1:8" x14ac:dyDescent="0.25">
      <c r="A172" s="61">
        <v>7</v>
      </c>
      <c r="B172" s="76" t="s">
        <v>81</v>
      </c>
      <c r="C172" s="68">
        <v>2</v>
      </c>
      <c r="D172" s="66">
        <f t="shared" si="47"/>
        <v>1</v>
      </c>
      <c r="E172" s="66">
        <f t="shared" si="48"/>
        <v>1</v>
      </c>
      <c r="F172" s="67"/>
      <c r="G172" s="102">
        <v>1</v>
      </c>
      <c r="H172" s="68"/>
    </row>
    <row r="173" spans="1:8" x14ac:dyDescent="0.25">
      <c r="A173" s="61">
        <v>8</v>
      </c>
      <c r="B173" s="76" t="s">
        <v>83</v>
      </c>
      <c r="C173" s="68">
        <v>1</v>
      </c>
      <c r="D173" s="68">
        <f t="shared" si="47"/>
        <v>0</v>
      </c>
      <c r="E173" s="66">
        <f t="shared" si="48"/>
        <v>0</v>
      </c>
      <c r="F173" s="71"/>
      <c r="G173" s="102">
        <v>1</v>
      </c>
      <c r="H173" s="68"/>
    </row>
    <row r="174" spans="1:8" x14ac:dyDescent="0.25">
      <c r="A174" s="61">
        <v>9</v>
      </c>
      <c r="B174" s="76" t="s">
        <v>85</v>
      </c>
      <c r="C174" s="68">
        <v>2</v>
      </c>
      <c r="D174" s="68">
        <f t="shared" si="47"/>
        <v>1</v>
      </c>
      <c r="E174" s="66">
        <f t="shared" si="48"/>
        <v>1</v>
      </c>
      <c r="F174" s="71"/>
      <c r="G174" s="102">
        <v>1</v>
      </c>
      <c r="H174" s="68"/>
    </row>
    <row r="175" spans="1:8" x14ac:dyDescent="0.25">
      <c r="A175" s="61">
        <v>10</v>
      </c>
      <c r="B175" s="76" t="s">
        <v>90</v>
      </c>
      <c r="C175" s="68">
        <v>1</v>
      </c>
      <c r="D175" s="68">
        <f t="shared" si="47"/>
        <v>0</v>
      </c>
      <c r="E175" s="66">
        <f t="shared" si="48"/>
        <v>0</v>
      </c>
      <c r="F175" s="71"/>
      <c r="G175" s="102">
        <v>1</v>
      </c>
      <c r="H175" s="68"/>
    </row>
    <row r="176" spans="1:8" x14ac:dyDescent="0.25">
      <c r="A176" s="61">
        <v>11</v>
      </c>
      <c r="B176" s="76" t="s">
        <v>92</v>
      </c>
      <c r="C176" s="68">
        <f>1+0.5+0.5-1</f>
        <v>1</v>
      </c>
      <c r="D176" s="68">
        <f t="shared" si="47"/>
        <v>0</v>
      </c>
      <c r="E176" s="66">
        <f t="shared" si="48"/>
        <v>0</v>
      </c>
      <c r="F176" s="71"/>
      <c r="G176" s="102">
        <f>2-1-1</f>
        <v>0</v>
      </c>
      <c r="H176" s="68">
        <v>1</v>
      </c>
    </row>
    <row r="177" spans="1:8" x14ac:dyDescent="0.25">
      <c r="A177" s="61">
        <v>12</v>
      </c>
      <c r="B177" s="76" t="s">
        <v>88</v>
      </c>
      <c r="C177" s="68">
        <v>1</v>
      </c>
      <c r="D177" s="68">
        <f t="shared" si="47"/>
        <v>0</v>
      </c>
      <c r="E177" s="66">
        <f t="shared" si="48"/>
        <v>0</v>
      </c>
      <c r="F177" s="71"/>
      <c r="G177" s="102">
        <v>1</v>
      </c>
      <c r="H177" s="68"/>
    </row>
    <row r="178" spans="1:8" x14ac:dyDescent="0.25">
      <c r="A178" s="61">
        <v>13</v>
      </c>
      <c r="B178" s="76" t="s">
        <v>53</v>
      </c>
      <c r="C178" s="66">
        <v>1</v>
      </c>
      <c r="D178" s="66">
        <f t="shared" si="47"/>
        <v>0.5</v>
      </c>
      <c r="E178" s="66">
        <f t="shared" si="48"/>
        <v>0.5</v>
      </c>
      <c r="F178" s="67"/>
      <c r="G178" s="102">
        <f>0.25+0.25</f>
        <v>0.5</v>
      </c>
      <c r="H178" s="68"/>
    </row>
    <row r="179" spans="1:8" x14ac:dyDescent="0.25">
      <c r="A179" s="61">
        <v>14</v>
      </c>
      <c r="B179" s="76" t="s">
        <v>64</v>
      </c>
      <c r="C179" s="66">
        <f>12.75-0.5-2-1.5</f>
        <v>8.75</v>
      </c>
      <c r="D179" s="66">
        <f t="shared" si="47"/>
        <v>4.75</v>
      </c>
      <c r="E179" s="66">
        <f t="shared" si="48"/>
        <v>4.75</v>
      </c>
      <c r="F179" s="67"/>
      <c r="G179" s="102">
        <f>6-1-1-1</f>
        <v>3</v>
      </c>
      <c r="H179" s="68">
        <v>1</v>
      </c>
    </row>
    <row r="180" spans="1:8" x14ac:dyDescent="0.25">
      <c r="A180" s="61">
        <v>15</v>
      </c>
      <c r="B180" s="76" t="s">
        <v>79</v>
      </c>
      <c r="C180" s="66">
        <v>2</v>
      </c>
      <c r="D180" s="66">
        <f t="shared" si="47"/>
        <v>1</v>
      </c>
      <c r="E180" s="66">
        <f t="shared" si="48"/>
        <v>1</v>
      </c>
      <c r="F180" s="67"/>
      <c r="G180" s="102">
        <v>1</v>
      </c>
      <c r="H180" s="68"/>
    </row>
    <row r="181" spans="1:8" x14ac:dyDescent="0.25">
      <c r="A181" s="61">
        <v>16</v>
      </c>
      <c r="B181" s="76" t="s">
        <v>86</v>
      </c>
      <c r="C181" s="66">
        <f>1+1</f>
        <v>2</v>
      </c>
      <c r="D181" s="66">
        <f t="shared" si="47"/>
        <v>0.5</v>
      </c>
      <c r="E181" s="66">
        <f t="shared" si="48"/>
        <v>0.5</v>
      </c>
      <c r="F181" s="67"/>
      <c r="G181" s="102">
        <f>0.25+0.25+1</f>
        <v>1.5</v>
      </c>
      <c r="H181" s="68"/>
    </row>
    <row r="182" spans="1:8" x14ac:dyDescent="0.25">
      <c r="A182" s="61"/>
      <c r="B182" s="72" t="s">
        <v>57</v>
      </c>
      <c r="C182" s="77">
        <f t="shared" ref="C182:H182" si="49">SUM(C166:C181)</f>
        <v>26.5</v>
      </c>
      <c r="D182" s="77">
        <f t="shared" si="49"/>
        <v>12.5</v>
      </c>
      <c r="E182" s="77">
        <f t="shared" si="49"/>
        <v>12.5</v>
      </c>
      <c r="F182" s="78">
        <f t="shared" si="49"/>
        <v>0</v>
      </c>
      <c r="G182" s="77">
        <f t="shared" si="49"/>
        <v>12</v>
      </c>
      <c r="H182" s="77">
        <f t="shared" si="49"/>
        <v>2</v>
      </c>
    </row>
    <row r="183" spans="1:8" x14ac:dyDescent="0.25">
      <c r="A183" s="61"/>
      <c r="B183" s="90" t="s">
        <v>472</v>
      </c>
      <c r="C183" s="73"/>
      <c r="D183" s="73"/>
      <c r="E183" s="73"/>
      <c r="F183" s="74"/>
      <c r="G183" s="73"/>
      <c r="H183" s="75"/>
    </row>
    <row r="184" spans="1:8" x14ac:dyDescent="0.25">
      <c r="A184" s="61">
        <v>1</v>
      </c>
      <c r="B184" s="76" t="s">
        <v>473</v>
      </c>
      <c r="C184" s="66">
        <v>1</v>
      </c>
      <c r="D184" s="66">
        <f>C184-G184-H184</f>
        <v>1</v>
      </c>
      <c r="E184" s="66">
        <f>D184-F184</f>
        <v>1</v>
      </c>
      <c r="F184" s="67"/>
      <c r="G184" s="73"/>
      <c r="H184" s="75"/>
    </row>
    <row r="185" spans="1:8" x14ac:dyDescent="0.25">
      <c r="A185" s="61">
        <v>2</v>
      </c>
      <c r="B185" s="76" t="s">
        <v>32</v>
      </c>
      <c r="C185" s="66">
        <v>1</v>
      </c>
      <c r="D185" s="66">
        <f>C185-G185-H185</f>
        <v>1</v>
      </c>
      <c r="E185" s="66">
        <f>D185-F185</f>
        <v>1</v>
      </c>
      <c r="F185" s="67"/>
      <c r="G185" s="73"/>
      <c r="H185" s="75"/>
    </row>
    <row r="186" spans="1:8" x14ac:dyDescent="0.25">
      <c r="A186" s="61">
        <v>3</v>
      </c>
      <c r="B186" s="76" t="s">
        <v>474</v>
      </c>
      <c r="C186" s="66">
        <v>0.5</v>
      </c>
      <c r="D186" s="66">
        <f>C186-G186-H186</f>
        <v>0.5</v>
      </c>
      <c r="E186" s="66">
        <f>D186-F186</f>
        <v>0.5</v>
      </c>
      <c r="F186" s="67"/>
      <c r="G186" s="73"/>
      <c r="H186" s="75"/>
    </row>
    <row r="187" spans="1:8" x14ac:dyDescent="0.25">
      <c r="A187" s="61">
        <v>4</v>
      </c>
      <c r="B187" s="76" t="s">
        <v>64</v>
      </c>
      <c r="C187" s="66">
        <v>1</v>
      </c>
      <c r="D187" s="66">
        <f>C187-G187-H187</f>
        <v>1</v>
      </c>
      <c r="E187" s="66">
        <f>D187-F187</f>
        <v>1</v>
      </c>
      <c r="F187" s="67"/>
      <c r="G187" s="73"/>
      <c r="H187" s="75"/>
    </row>
    <row r="188" spans="1:8" x14ac:dyDescent="0.25">
      <c r="A188" s="61"/>
      <c r="B188" s="72" t="s">
        <v>57</v>
      </c>
      <c r="C188" s="128">
        <f t="shared" ref="C188:H188" si="50">SUM(C184:C187)</f>
        <v>3.5</v>
      </c>
      <c r="D188" s="73">
        <f t="shared" si="50"/>
        <v>3.5</v>
      </c>
      <c r="E188" s="73">
        <f t="shared" si="50"/>
        <v>3.5</v>
      </c>
      <c r="F188" s="74">
        <f t="shared" si="50"/>
        <v>0</v>
      </c>
      <c r="G188" s="73">
        <f t="shared" si="50"/>
        <v>0</v>
      </c>
      <c r="H188" s="73">
        <f t="shared" si="50"/>
        <v>0</v>
      </c>
    </row>
    <row r="189" spans="1:8" ht="29.25" x14ac:dyDescent="0.25">
      <c r="A189" s="60"/>
      <c r="B189" s="129" t="s">
        <v>150</v>
      </c>
      <c r="C189" s="121">
        <f t="shared" ref="C189:H189" si="51">C182+C188</f>
        <v>30</v>
      </c>
      <c r="D189" s="121">
        <f t="shared" si="51"/>
        <v>16</v>
      </c>
      <c r="E189" s="121">
        <f t="shared" si="51"/>
        <v>16</v>
      </c>
      <c r="F189" s="122">
        <f t="shared" si="51"/>
        <v>0</v>
      </c>
      <c r="G189" s="121">
        <f t="shared" si="51"/>
        <v>12</v>
      </c>
      <c r="H189" s="121">
        <f t="shared" si="51"/>
        <v>2</v>
      </c>
    </row>
    <row r="190" spans="1:8" x14ac:dyDescent="0.25">
      <c r="A190" s="61"/>
      <c r="B190" s="130"/>
      <c r="C190" s="131">
        <f t="shared" ref="C190:H190" si="52">SUM(C191:C192)</f>
        <v>30</v>
      </c>
      <c r="D190" s="131">
        <f t="shared" si="52"/>
        <v>16</v>
      </c>
      <c r="E190" s="131">
        <f t="shared" si="52"/>
        <v>16</v>
      </c>
      <c r="F190" s="132">
        <f t="shared" si="52"/>
        <v>0</v>
      </c>
      <c r="G190" s="131">
        <f t="shared" si="52"/>
        <v>12</v>
      </c>
      <c r="H190" s="131">
        <f t="shared" si="52"/>
        <v>2</v>
      </c>
    </row>
    <row r="191" spans="1:8" x14ac:dyDescent="0.25">
      <c r="A191" s="61"/>
      <c r="B191" s="133" t="s">
        <v>110</v>
      </c>
      <c r="C191" s="121">
        <f t="shared" ref="C191:H191" si="53">C166+C167+C168+C169+C170+C171+C172+C173+C174+C177+C175+C176+C184+C185+C186</f>
        <v>15.25</v>
      </c>
      <c r="D191" s="121">
        <f t="shared" si="53"/>
        <v>8.25</v>
      </c>
      <c r="E191" s="121">
        <f t="shared" si="53"/>
        <v>8.25</v>
      </c>
      <c r="F191" s="122">
        <f t="shared" si="53"/>
        <v>0</v>
      </c>
      <c r="G191" s="121">
        <f t="shared" si="53"/>
        <v>6</v>
      </c>
      <c r="H191" s="121">
        <f t="shared" si="53"/>
        <v>1</v>
      </c>
    </row>
    <row r="192" spans="1:8" x14ac:dyDescent="0.25">
      <c r="A192" s="61"/>
      <c r="B192" s="133" t="s">
        <v>112</v>
      </c>
      <c r="C192" s="121">
        <f t="shared" ref="C192:H192" si="54">C178+C179+C187+C181+C180</f>
        <v>14.75</v>
      </c>
      <c r="D192" s="121">
        <f t="shared" si="54"/>
        <v>7.75</v>
      </c>
      <c r="E192" s="121">
        <f t="shared" si="54"/>
        <v>7.75</v>
      </c>
      <c r="F192" s="122">
        <f t="shared" si="54"/>
        <v>0</v>
      </c>
      <c r="G192" s="121">
        <f t="shared" si="54"/>
        <v>6</v>
      </c>
      <c r="H192" s="121">
        <f t="shared" si="54"/>
        <v>1</v>
      </c>
    </row>
    <row r="193" spans="1:8" x14ac:dyDescent="0.25">
      <c r="A193" s="61"/>
      <c r="B193" s="33" t="s">
        <v>93</v>
      </c>
      <c r="C193" s="73"/>
      <c r="D193" s="73"/>
      <c r="E193" s="73"/>
      <c r="F193" s="74"/>
      <c r="G193" s="60"/>
      <c r="H193" s="61"/>
    </row>
    <row r="194" spans="1:8" x14ac:dyDescent="0.25">
      <c r="A194" s="61" t="s">
        <v>61</v>
      </c>
      <c r="B194" s="76" t="s">
        <v>94</v>
      </c>
      <c r="C194" s="68">
        <v>3</v>
      </c>
      <c r="D194" s="68">
        <f>C194-G194-H194</f>
        <v>0</v>
      </c>
      <c r="E194" s="66">
        <f>D194-F194</f>
        <v>0</v>
      </c>
      <c r="F194" s="71"/>
      <c r="G194" s="102">
        <v>3</v>
      </c>
      <c r="H194" s="68"/>
    </row>
    <row r="195" spans="1:8" x14ac:dyDescent="0.25">
      <c r="A195" s="61"/>
      <c r="B195" s="72" t="s">
        <v>57</v>
      </c>
      <c r="C195" s="73">
        <f t="shared" ref="C195:H195" si="55">SUM(C194:C194)</f>
        <v>3</v>
      </c>
      <c r="D195" s="73">
        <f t="shared" si="55"/>
        <v>0</v>
      </c>
      <c r="E195" s="73">
        <f t="shared" si="55"/>
        <v>0</v>
      </c>
      <c r="F195" s="74">
        <f t="shared" si="55"/>
        <v>0</v>
      </c>
      <c r="G195" s="73">
        <f t="shared" si="55"/>
        <v>3</v>
      </c>
      <c r="H195" s="75">
        <f t="shared" si="55"/>
        <v>0</v>
      </c>
    </row>
    <row r="196" spans="1:8" x14ac:dyDescent="0.25">
      <c r="A196" s="61"/>
      <c r="B196" s="72"/>
      <c r="C196" s="73"/>
      <c r="D196" s="73"/>
      <c r="E196" s="73"/>
      <c r="F196" s="74"/>
      <c r="G196" s="73"/>
      <c r="H196" s="75"/>
    </row>
    <row r="197" spans="1:8" x14ac:dyDescent="0.25">
      <c r="A197" s="61"/>
      <c r="B197" s="33" t="s">
        <v>95</v>
      </c>
      <c r="C197" s="68"/>
      <c r="D197" s="68"/>
      <c r="E197" s="68"/>
      <c r="F197" s="71"/>
      <c r="G197" s="60"/>
      <c r="H197" s="68"/>
    </row>
    <row r="198" spans="1:8" x14ac:dyDescent="0.25">
      <c r="A198" s="61">
        <v>1</v>
      </c>
      <c r="B198" s="76" t="s">
        <v>96</v>
      </c>
      <c r="C198" s="68">
        <f>12+1-5-1-2-2-2</f>
        <v>1</v>
      </c>
      <c r="D198" s="68">
        <f>C198-G198-H198</f>
        <v>0</v>
      </c>
      <c r="E198" s="66">
        <f>D198-F198</f>
        <v>0</v>
      </c>
      <c r="F198" s="71"/>
      <c r="G198" s="102">
        <f>12+1-5-1-2-2-2</f>
        <v>1</v>
      </c>
      <c r="H198" s="68"/>
    </row>
    <row r="199" spans="1:8" x14ac:dyDescent="0.25">
      <c r="A199" s="61">
        <v>2</v>
      </c>
      <c r="B199" s="76" t="s">
        <v>475</v>
      </c>
      <c r="C199" s="68">
        <v>1</v>
      </c>
      <c r="D199" s="68">
        <f>C199-G199-H199</f>
        <v>0</v>
      </c>
      <c r="E199" s="66">
        <f>D199-F199</f>
        <v>0</v>
      </c>
      <c r="F199" s="71"/>
      <c r="G199" s="102">
        <v>1</v>
      </c>
      <c r="H199" s="68"/>
    </row>
    <row r="200" spans="1:8" x14ac:dyDescent="0.25">
      <c r="A200" s="61">
        <v>3</v>
      </c>
      <c r="B200" s="76" t="s">
        <v>476</v>
      </c>
      <c r="C200" s="68">
        <v>1</v>
      </c>
      <c r="D200" s="68">
        <f>C200-G200-H200</f>
        <v>0</v>
      </c>
      <c r="E200" s="66">
        <f>D200-F200</f>
        <v>0</v>
      </c>
      <c r="F200" s="71"/>
      <c r="G200" s="102">
        <v>1</v>
      </c>
      <c r="H200" s="68"/>
    </row>
    <row r="201" spans="1:8" x14ac:dyDescent="0.25">
      <c r="A201" s="61">
        <v>4</v>
      </c>
      <c r="B201" s="76" t="s">
        <v>478</v>
      </c>
      <c r="C201" s="68">
        <f>4+1+2+4+2</f>
        <v>13</v>
      </c>
      <c r="D201" s="68">
        <f>C201-G201-H201</f>
        <v>0</v>
      </c>
      <c r="E201" s="66">
        <f>D201-F201</f>
        <v>0</v>
      </c>
      <c r="F201" s="71"/>
      <c r="G201" s="102">
        <f>4+1+2+4+2</f>
        <v>13</v>
      </c>
      <c r="H201" s="68"/>
    </row>
    <row r="202" spans="1:8" x14ac:dyDescent="0.25">
      <c r="A202" s="123"/>
      <c r="B202" s="72" t="s">
        <v>57</v>
      </c>
      <c r="C202" s="73">
        <f t="shared" ref="C202:H202" si="56">SUM(C198:C201)</f>
        <v>16</v>
      </c>
      <c r="D202" s="73">
        <f t="shared" si="56"/>
        <v>0</v>
      </c>
      <c r="E202" s="73">
        <f t="shared" si="56"/>
        <v>0</v>
      </c>
      <c r="F202" s="74">
        <f t="shared" si="56"/>
        <v>0</v>
      </c>
      <c r="G202" s="73">
        <f t="shared" si="56"/>
        <v>16</v>
      </c>
      <c r="H202" s="73">
        <f t="shared" si="56"/>
        <v>0</v>
      </c>
    </row>
    <row r="203" spans="1:8" x14ac:dyDescent="0.25">
      <c r="A203" s="61"/>
      <c r="B203" s="33" t="s">
        <v>97</v>
      </c>
      <c r="C203" s="73"/>
      <c r="D203" s="73"/>
      <c r="E203" s="73"/>
      <c r="F203" s="74"/>
      <c r="G203" s="60"/>
      <c r="H203" s="61"/>
    </row>
    <row r="204" spans="1:8" x14ac:dyDescent="0.25">
      <c r="A204" s="61"/>
      <c r="B204" s="33" t="s">
        <v>98</v>
      </c>
      <c r="C204" s="73"/>
      <c r="D204" s="73"/>
      <c r="E204" s="73"/>
      <c r="F204" s="74"/>
      <c r="G204" s="60"/>
      <c r="H204" s="61"/>
    </row>
    <row r="205" spans="1:8" x14ac:dyDescent="0.25">
      <c r="A205" s="56">
        <v>1</v>
      </c>
      <c r="B205" s="76" t="s">
        <v>99</v>
      </c>
      <c r="C205" s="66">
        <v>1</v>
      </c>
      <c r="D205" s="66">
        <f t="shared" ref="D205:D215" si="57">C205-G205-H205</f>
        <v>0.75</v>
      </c>
      <c r="E205" s="66">
        <f t="shared" ref="E205:E215" si="58">D205-F205</f>
        <v>0.75</v>
      </c>
      <c r="F205" s="67"/>
      <c r="G205" s="60">
        <v>0.25</v>
      </c>
      <c r="H205" s="68"/>
    </row>
    <row r="206" spans="1:8" x14ac:dyDescent="0.25">
      <c r="A206" s="61">
        <v>2</v>
      </c>
      <c r="B206" s="60" t="s">
        <v>100</v>
      </c>
      <c r="C206" s="68">
        <v>1</v>
      </c>
      <c r="D206" s="68">
        <f t="shared" si="57"/>
        <v>1</v>
      </c>
      <c r="E206" s="66">
        <f t="shared" si="58"/>
        <v>1</v>
      </c>
      <c r="F206" s="71"/>
      <c r="G206" s="60"/>
      <c r="H206" s="68"/>
    </row>
    <row r="207" spans="1:8" x14ac:dyDescent="0.25">
      <c r="A207" s="61">
        <v>3</v>
      </c>
      <c r="B207" s="76" t="s">
        <v>299</v>
      </c>
      <c r="C207" s="68">
        <v>1</v>
      </c>
      <c r="D207" s="68">
        <f t="shared" si="57"/>
        <v>1</v>
      </c>
      <c r="E207" s="66">
        <f t="shared" si="58"/>
        <v>1</v>
      </c>
      <c r="F207" s="71"/>
      <c r="G207" s="60"/>
      <c r="H207" s="68"/>
    </row>
    <row r="208" spans="1:8" x14ac:dyDescent="0.25">
      <c r="A208" s="61">
        <v>4</v>
      </c>
      <c r="B208" s="76" t="s">
        <v>101</v>
      </c>
      <c r="C208" s="68">
        <v>2</v>
      </c>
      <c r="D208" s="68">
        <f t="shared" si="57"/>
        <v>1.75</v>
      </c>
      <c r="E208" s="66">
        <f t="shared" si="58"/>
        <v>1.75</v>
      </c>
      <c r="F208" s="71"/>
      <c r="G208" s="60">
        <v>0.25</v>
      </c>
      <c r="H208" s="68"/>
    </row>
    <row r="209" spans="1:9" x14ac:dyDescent="0.25">
      <c r="A209" s="61">
        <v>5</v>
      </c>
      <c r="B209" s="65" t="s">
        <v>102</v>
      </c>
      <c r="C209" s="68">
        <f>2-0.5</f>
        <v>1.5</v>
      </c>
      <c r="D209" s="68">
        <f t="shared" si="57"/>
        <v>1.25</v>
      </c>
      <c r="E209" s="66">
        <f t="shared" si="58"/>
        <v>1.25</v>
      </c>
      <c r="F209" s="71"/>
      <c r="G209" s="60">
        <v>0.25</v>
      </c>
      <c r="H209" s="68"/>
    </row>
    <row r="210" spans="1:9" x14ac:dyDescent="0.25">
      <c r="A210" s="134">
        <v>6</v>
      </c>
      <c r="B210" s="65" t="s">
        <v>103</v>
      </c>
      <c r="C210" s="68">
        <v>1</v>
      </c>
      <c r="D210" s="68">
        <f t="shared" si="57"/>
        <v>0.75</v>
      </c>
      <c r="E210" s="66">
        <f t="shared" si="58"/>
        <v>0.75</v>
      </c>
      <c r="F210" s="71"/>
      <c r="G210" s="60">
        <v>0.25</v>
      </c>
      <c r="H210" s="68"/>
    </row>
    <row r="211" spans="1:9" x14ac:dyDescent="0.25">
      <c r="A211" s="134">
        <v>7</v>
      </c>
      <c r="B211" s="76" t="s">
        <v>104</v>
      </c>
      <c r="C211" s="68">
        <v>2</v>
      </c>
      <c r="D211" s="68">
        <f t="shared" si="57"/>
        <v>1.5</v>
      </c>
      <c r="E211" s="66">
        <f t="shared" si="58"/>
        <v>1.5</v>
      </c>
      <c r="F211" s="71"/>
      <c r="G211" s="102">
        <f>0.25+0.25</f>
        <v>0.5</v>
      </c>
      <c r="H211" s="68"/>
    </row>
    <row r="212" spans="1:9" x14ac:dyDescent="0.25">
      <c r="A212" s="134">
        <v>8</v>
      </c>
      <c r="B212" s="65" t="s">
        <v>105</v>
      </c>
      <c r="C212" s="68">
        <f>1.5+0.5</f>
        <v>2</v>
      </c>
      <c r="D212" s="68">
        <f t="shared" si="57"/>
        <v>1</v>
      </c>
      <c r="E212" s="66">
        <f t="shared" si="58"/>
        <v>1</v>
      </c>
      <c r="F212" s="71"/>
      <c r="G212" s="102">
        <f>0.25+0.5+0.25</f>
        <v>1</v>
      </c>
      <c r="H212" s="68"/>
    </row>
    <row r="213" spans="1:9" x14ac:dyDescent="0.25">
      <c r="A213" s="134">
        <v>9</v>
      </c>
      <c r="B213" s="65" t="s">
        <v>106</v>
      </c>
      <c r="C213" s="68">
        <v>8.5</v>
      </c>
      <c r="D213" s="68">
        <f t="shared" si="57"/>
        <v>8</v>
      </c>
      <c r="E213" s="66">
        <f t="shared" si="58"/>
        <v>8</v>
      </c>
      <c r="F213" s="71"/>
      <c r="G213" s="102">
        <v>0.5</v>
      </c>
      <c r="H213" s="68"/>
    </row>
    <row r="214" spans="1:9" x14ac:dyDescent="0.25">
      <c r="A214" s="134">
        <v>10</v>
      </c>
      <c r="B214" s="65" t="s">
        <v>107</v>
      </c>
      <c r="C214" s="68">
        <v>1.25</v>
      </c>
      <c r="D214" s="68">
        <f t="shared" si="57"/>
        <v>1</v>
      </c>
      <c r="E214" s="66">
        <f t="shared" si="58"/>
        <v>1</v>
      </c>
      <c r="F214" s="71"/>
      <c r="G214" s="60">
        <v>0.25</v>
      </c>
      <c r="H214" s="68"/>
    </row>
    <row r="215" spans="1:9" x14ac:dyDescent="0.25">
      <c r="A215" s="134">
        <v>11</v>
      </c>
      <c r="B215" s="65" t="s">
        <v>108</v>
      </c>
      <c r="C215" s="68">
        <v>3.5</v>
      </c>
      <c r="D215" s="68">
        <f t="shared" si="57"/>
        <v>3</v>
      </c>
      <c r="E215" s="66">
        <f t="shared" si="58"/>
        <v>3</v>
      </c>
      <c r="F215" s="71"/>
      <c r="G215" s="102">
        <v>0.5</v>
      </c>
      <c r="H215" s="68"/>
    </row>
    <row r="216" spans="1:9" x14ac:dyDescent="0.25">
      <c r="A216" s="61"/>
      <c r="B216" s="72" t="s">
        <v>54</v>
      </c>
      <c r="C216" s="73">
        <f t="shared" ref="C216:H216" si="59">SUM(C205:C215)</f>
        <v>24.75</v>
      </c>
      <c r="D216" s="73">
        <f t="shared" si="59"/>
        <v>21</v>
      </c>
      <c r="E216" s="73">
        <f t="shared" si="59"/>
        <v>21</v>
      </c>
      <c r="F216" s="74">
        <f t="shared" si="59"/>
        <v>0</v>
      </c>
      <c r="G216" s="73">
        <f t="shared" si="59"/>
        <v>3.75</v>
      </c>
      <c r="H216" s="75">
        <f t="shared" si="59"/>
        <v>0</v>
      </c>
    </row>
    <row r="217" spans="1:9" ht="15.75" x14ac:dyDescent="0.25">
      <c r="A217" s="124"/>
      <c r="B217" s="135" t="s">
        <v>109</v>
      </c>
      <c r="C217" s="136">
        <f t="shared" ref="C217:H217" si="60">C216+C202+C195+C189+C161+C99+C94+C89</f>
        <v>157</v>
      </c>
      <c r="D217" s="136">
        <f t="shared" si="60"/>
        <v>51.5</v>
      </c>
      <c r="E217" s="136">
        <f t="shared" si="60"/>
        <v>51.5</v>
      </c>
      <c r="F217" s="136">
        <f t="shared" si="60"/>
        <v>0</v>
      </c>
      <c r="G217" s="136">
        <f t="shared" si="60"/>
        <v>100.5</v>
      </c>
      <c r="H217" s="136">
        <f t="shared" si="60"/>
        <v>5</v>
      </c>
    </row>
    <row r="218" spans="1:9" ht="15.75" x14ac:dyDescent="0.25">
      <c r="A218" s="124"/>
      <c r="B218" s="135"/>
      <c r="C218" s="137">
        <f t="shared" ref="C218:H218" si="61">SUM(C219:C223)-C220</f>
        <v>157</v>
      </c>
      <c r="D218" s="137">
        <f t="shared" si="61"/>
        <v>51.5</v>
      </c>
      <c r="E218" s="137">
        <f t="shared" si="61"/>
        <v>51.5</v>
      </c>
      <c r="F218" s="137">
        <f t="shared" si="61"/>
        <v>0</v>
      </c>
      <c r="G218" s="137">
        <f t="shared" si="61"/>
        <v>100.5</v>
      </c>
      <c r="H218" s="137">
        <f t="shared" si="61"/>
        <v>5</v>
      </c>
      <c r="I218" s="3">
        <f>SUM(E218:H218)</f>
        <v>157</v>
      </c>
    </row>
    <row r="219" spans="1:9" x14ac:dyDescent="0.25">
      <c r="A219" s="124"/>
      <c r="B219" s="138" t="s">
        <v>110</v>
      </c>
      <c r="C219" s="139">
        <f t="shared" ref="C219:H219" si="62">C191+C163+C96+C97+C83+C84+C85+C92</f>
        <v>50.25</v>
      </c>
      <c r="D219" s="139">
        <f t="shared" si="62"/>
        <v>14.25</v>
      </c>
      <c r="E219" s="139">
        <f t="shared" si="62"/>
        <v>14.25</v>
      </c>
      <c r="F219" s="139">
        <f t="shared" si="62"/>
        <v>0</v>
      </c>
      <c r="G219" s="139">
        <f t="shared" si="62"/>
        <v>33</v>
      </c>
      <c r="H219" s="139">
        <f t="shared" si="62"/>
        <v>3</v>
      </c>
      <c r="I219" s="17">
        <f t="shared" ref="I219:I223" si="63">SUM(D219:H219)</f>
        <v>64.5</v>
      </c>
    </row>
    <row r="220" spans="1:9" x14ac:dyDescent="0.25">
      <c r="A220" s="124"/>
      <c r="B220" s="138" t="s">
        <v>111</v>
      </c>
      <c r="C220" s="139">
        <f t="shared" ref="C220" si="64">C108+C112+C116+C120+C124+C127+C131+C135+C139+C145+C150+C154+C158</f>
        <v>27</v>
      </c>
      <c r="D220" s="139">
        <f t="shared" ref="D220:H220" si="65">D108+D112+D116+D120+D124+D127+D131+D135+D139+D145+D150+D154+D158</f>
        <v>4</v>
      </c>
      <c r="E220" s="139">
        <f t="shared" si="65"/>
        <v>4</v>
      </c>
      <c r="F220" s="139">
        <f t="shared" si="65"/>
        <v>0</v>
      </c>
      <c r="G220" s="139">
        <f t="shared" si="65"/>
        <v>21</v>
      </c>
      <c r="H220" s="139">
        <f t="shared" si="65"/>
        <v>2</v>
      </c>
      <c r="I220" s="3">
        <f t="shared" si="63"/>
        <v>31</v>
      </c>
    </row>
    <row r="221" spans="1:9" x14ac:dyDescent="0.25">
      <c r="A221" s="124"/>
      <c r="B221" s="138" t="s">
        <v>112</v>
      </c>
      <c r="C221" s="139">
        <f t="shared" ref="C221:H221" si="66">C86+C98+C164+C192+C195+C198</f>
        <v>48</v>
      </c>
      <c r="D221" s="139">
        <f t="shared" si="66"/>
        <v>14</v>
      </c>
      <c r="E221" s="139">
        <f t="shared" si="66"/>
        <v>14</v>
      </c>
      <c r="F221" s="139">
        <f t="shared" si="66"/>
        <v>0</v>
      </c>
      <c r="G221" s="139">
        <f t="shared" si="66"/>
        <v>32</v>
      </c>
      <c r="H221" s="139">
        <f t="shared" si="66"/>
        <v>2</v>
      </c>
      <c r="I221" s="3">
        <f t="shared" si="63"/>
        <v>62</v>
      </c>
    </row>
    <row r="222" spans="1:9" x14ac:dyDescent="0.25">
      <c r="A222" s="124"/>
      <c r="B222" s="138" t="s">
        <v>113</v>
      </c>
      <c r="C222" s="139">
        <f t="shared" ref="C222:H222" si="67">C87+C88</f>
        <v>17</v>
      </c>
      <c r="D222" s="139">
        <f t="shared" si="67"/>
        <v>2.25</v>
      </c>
      <c r="E222" s="139">
        <f t="shared" si="67"/>
        <v>2.25</v>
      </c>
      <c r="F222" s="139">
        <f t="shared" si="67"/>
        <v>0</v>
      </c>
      <c r="G222" s="139">
        <f t="shared" si="67"/>
        <v>14.75</v>
      </c>
      <c r="H222" s="139">
        <f t="shared" si="67"/>
        <v>0</v>
      </c>
      <c r="I222" s="3">
        <f t="shared" si="63"/>
        <v>19.25</v>
      </c>
    </row>
    <row r="223" spans="1:9" x14ac:dyDescent="0.25">
      <c r="A223" s="124"/>
      <c r="B223" s="138" t="s">
        <v>114</v>
      </c>
      <c r="C223" s="139">
        <f t="shared" ref="C223:H223" si="68">C216+C93+C199+C200+C201</f>
        <v>41.75</v>
      </c>
      <c r="D223" s="139">
        <f t="shared" si="68"/>
        <v>21</v>
      </c>
      <c r="E223" s="139">
        <f t="shared" si="68"/>
        <v>21</v>
      </c>
      <c r="F223" s="139">
        <f t="shared" si="68"/>
        <v>0</v>
      </c>
      <c r="G223" s="139">
        <f t="shared" si="68"/>
        <v>20.75</v>
      </c>
      <c r="H223" s="139">
        <f t="shared" si="68"/>
        <v>0</v>
      </c>
      <c r="I223" s="3">
        <f t="shared" si="63"/>
        <v>62.75</v>
      </c>
    </row>
    <row r="224" spans="1:9" ht="18.75" x14ac:dyDescent="0.3">
      <c r="A224" s="61"/>
      <c r="B224" s="140" t="s">
        <v>115</v>
      </c>
      <c r="C224" s="68"/>
      <c r="D224" s="68"/>
      <c r="E224" s="68"/>
      <c r="F224" s="71"/>
      <c r="G224" s="60"/>
      <c r="H224" s="61"/>
    </row>
    <row r="225" spans="1:9" x14ac:dyDescent="0.25">
      <c r="A225" s="61"/>
      <c r="B225" s="62" t="s">
        <v>39</v>
      </c>
      <c r="C225" s="68"/>
      <c r="D225" s="68"/>
      <c r="E225" s="68"/>
      <c r="F225" s="71"/>
      <c r="G225" s="60"/>
      <c r="H225" s="61"/>
    </row>
    <row r="226" spans="1:9" ht="26.25" x14ac:dyDescent="0.25">
      <c r="A226" s="61">
        <v>1</v>
      </c>
      <c r="B226" s="88" t="s">
        <v>116</v>
      </c>
      <c r="C226" s="68">
        <v>1</v>
      </c>
      <c r="D226" s="68">
        <f>C226-G226-H226</f>
        <v>0</v>
      </c>
      <c r="E226" s="66">
        <f>D226-F226</f>
        <v>0</v>
      </c>
      <c r="F226" s="71"/>
      <c r="G226" s="68">
        <v>0.5</v>
      </c>
      <c r="H226" s="68">
        <f>1-0.5</f>
        <v>0.5</v>
      </c>
    </row>
    <row r="227" spans="1:9" x14ac:dyDescent="0.25">
      <c r="A227" s="61">
        <v>2</v>
      </c>
      <c r="B227" s="76" t="s">
        <v>43</v>
      </c>
      <c r="C227" s="68">
        <v>1</v>
      </c>
      <c r="D227" s="68">
        <f>C227-G227-H227</f>
        <v>0</v>
      </c>
      <c r="E227" s="66">
        <f>D227-F227</f>
        <v>0</v>
      </c>
      <c r="F227" s="71"/>
      <c r="G227" s="68">
        <v>0.5</v>
      </c>
      <c r="H227" s="68">
        <f>1-0.5</f>
        <v>0.5</v>
      </c>
    </row>
    <row r="228" spans="1:9" x14ac:dyDescent="0.25">
      <c r="A228" s="61">
        <v>3</v>
      </c>
      <c r="B228" s="89" t="s">
        <v>117</v>
      </c>
      <c r="C228" s="68">
        <v>1</v>
      </c>
      <c r="D228" s="68">
        <f>C228-G228-H228</f>
        <v>0</v>
      </c>
      <c r="E228" s="66">
        <f>D228-F228</f>
        <v>0</v>
      </c>
      <c r="F228" s="71"/>
      <c r="G228" s="68">
        <v>1</v>
      </c>
      <c r="H228" s="68"/>
    </row>
    <row r="229" spans="1:9" x14ac:dyDescent="0.25">
      <c r="A229" s="61">
        <v>4</v>
      </c>
      <c r="B229" s="89" t="s">
        <v>35</v>
      </c>
      <c r="C229" s="68">
        <v>1</v>
      </c>
      <c r="D229" s="68">
        <f>C229-G229-H229</f>
        <v>0</v>
      </c>
      <c r="E229" s="66">
        <f>D229-F229</f>
        <v>0</v>
      </c>
      <c r="F229" s="71"/>
      <c r="G229" s="68">
        <v>0.5</v>
      </c>
      <c r="H229" s="68">
        <v>0.5</v>
      </c>
    </row>
    <row r="230" spans="1:9" x14ac:dyDescent="0.25">
      <c r="A230" s="61"/>
      <c r="B230" s="141" t="s">
        <v>54</v>
      </c>
      <c r="C230" s="73">
        <f t="shared" ref="C230:H230" si="69">SUM(C226:C229)</f>
        <v>4</v>
      </c>
      <c r="D230" s="73">
        <f t="shared" si="69"/>
        <v>0</v>
      </c>
      <c r="E230" s="73">
        <f t="shared" si="69"/>
        <v>0</v>
      </c>
      <c r="F230" s="74">
        <f t="shared" si="69"/>
        <v>0</v>
      </c>
      <c r="G230" s="73">
        <f t="shared" si="69"/>
        <v>2.5</v>
      </c>
      <c r="H230" s="73">
        <f t="shared" si="69"/>
        <v>1.5</v>
      </c>
    </row>
    <row r="231" spans="1:9" x14ac:dyDescent="0.25">
      <c r="A231" s="61"/>
      <c r="B231" s="142" t="s">
        <v>118</v>
      </c>
      <c r="C231" s="73"/>
      <c r="D231" s="73"/>
      <c r="E231" s="73"/>
      <c r="F231" s="74"/>
      <c r="G231" s="60"/>
      <c r="H231" s="61"/>
    </row>
    <row r="232" spans="1:9" ht="26.25" x14ac:dyDescent="0.25">
      <c r="A232" s="36">
        <v>1</v>
      </c>
      <c r="B232" s="103" t="s">
        <v>119</v>
      </c>
      <c r="C232" s="66">
        <v>1</v>
      </c>
      <c r="D232" s="66">
        <f t="shared" ref="D232:D247" si="70">C232-G232-H232</f>
        <v>0</v>
      </c>
      <c r="E232" s="66">
        <f t="shared" ref="E232:E247" si="71">D232-F232</f>
        <v>0</v>
      </c>
      <c r="F232" s="67"/>
      <c r="G232" s="60"/>
      <c r="H232" s="66">
        <v>1</v>
      </c>
      <c r="I232" s="17">
        <f>SUM(D232:H232)</f>
        <v>1</v>
      </c>
    </row>
    <row r="233" spans="1:9" ht="26.25" x14ac:dyDescent="0.25">
      <c r="A233" s="36">
        <v>2</v>
      </c>
      <c r="B233" s="103" t="s">
        <v>120</v>
      </c>
      <c r="C233" s="66">
        <v>1</v>
      </c>
      <c r="D233" s="66">
        <f t="shared" si="70"/>
        <v>0</v>
      </c>
      <c r="E233" s="66">
        <f t="shared" si="71"/>
        <v>0</v>
      </c>
      <c r="F233" s="67"/>
      <c r="G233" s="66">
        <v>1</v>
      </c>
      <c r="H233" s="68"/>
    </row>
    <row r="234" spans="1:9" x14ac:dyDescent="0.25">
      <c r="A234" s="36">
        <v>3</v>
      </c>
      <c r="B234" s="76" t="s">
        <v>578</v>
      </c>
      <c r="C234" s="35">
        <f>10.25-0.5-1+0.5+1-1+1-0.25</f>
        <v>10</v>
      </c>
      <c r="D234" s="35">
        <f t="shared" si="70"/>
        <v>0</v>
      </c>
      <c r="E234" s="66">
        <f t="shared" si="71"/>
        <v>0</v>
      </c>
      <c r="F234" s="143"/>
      <c r="G234" s="35">
        <f>8.5-1+0.5+1-1+1-0.25+0.5</f>
        <v>9.25</v>
      </c>
      <c r="H234" s="68">
        <v>0.75</v>
      </c>
    </row>
    <row r="235" spans="1:9" x14ac:dyDescent="0.25">
      <c r="A235" s="36">
        <v>4</v>
      </c>
      <c r="B235" s="76" t="s">
        <v>121</v>
      </c>
      <c r="C235" s="35">
        <f>3.5+0.25+1-0.5</f>
        <v>4.25</v>
      </c>
      <c r="D235" s="35">
        <f t="shared" si="70"/>
        <v>0</v>
      </c>
      <c r="E235" s="66">
        <f t="shared" si="71"/>
        <v>0</v>
      </c>
      <c r="F235" s="143"/>
      <c r="G235" s="35">
        <f>2+0.25+1+0.25</f>
        <v>3.5</v>
      </c>
      <c r="H235" s="68">
        <f>1.25-0.5</f>
        <v>0.75</v>
      </c>
    </row>
    <row r="236" spans="1:9" x14ac:dyDescent="0.25">
      <c r="A236" s="36">
        <v>5</v>
      </c>
      <c r="B236" s="88" t="s">
        <v>122</v>
      </c>
      <c r="C236" s="35">
        <f>6.5+0.5+0.5</f>
        <v>7.5</v>
      </c>
      <c r="D236" s="35">
        <f t="shared" si="70"/>
        <v>0</v>
      </c>
      <c r="E236" s="66">
        <f t="shared" si="71"/>
        <v>0</v>
      </c>
      <c r="F236" s="143"/>
      <c r="G236" s="60"/>
      <c r="H236" s="35">
        <f>6.5+0.5+0.5</f>
        <v>7.5</v>
      </c>
      <c r="I236" s="17">
        <f>SUM(D236:H236)</f>
        <v>7.5</v>
      </c>
    </row>
    <row r="237" spans="1:9" x14ac:dyDescent="0.25">
      <c r="A237" s="36">
        <v>6</v>
      </c>
      <c r="B237" s="76" t="s">
        <v>123</v>
      </c>
      <c r="C237" s="35">
        <f>2.75+0.25+0.75-0.5-1+1+0.25+0.5</f>
        <v>4</v>
      </c>
      <c r="D237" s="35">
        <f t="shared" si="70"/>
        <v>0</v>
      </c>
      <c r="E237" s="66">
        <f t="shared" si="71"/>
        <v>0</v>
      </c>
      <c r="F237" s="143"/>
      <c r="G237" s="35">
        <f>2+0.75-0.5-1+1+0.25+0.5</f>
        <v>3</v>
      </c>
      <c r="H237" s="68">
        <v>1</v>
      </c>
    </row>
    <row r="238" spans="1:9" x14ac:dyDescent="0.25">
      <c r="A238" s="36">
        <v>7</v>
      </c>
      <c r="B238" s="76" t="s">
        <v>559</v>
      </c>
      <c r="C238" s="35">
        <v>1</v>
      </c>
      <c r="D238" s="35">
        <f t="shared" si="70"/>
        <v>0</v>
      </c>
      <c r="E238" s="66">
        <f t="shared" si="71"/>
        <v>0</v>
      </c>
      <c r="F238" s="143"/>
      <c r="G238" s="35"/>
      <c r="H238" s="68">
        <v>1</v>
      </c>
    </row>
    <row r="239" spans="1:9" x14ac:dyDescent="0.25">
      <c r="A239" s="36">
        <v>8</v>
      </c>
      <c r="B239" s="76" t="s">
        <v>124</v>
      </c>
      <c r="C239" s="35">
        <f>2.25+0.25-1</f>
        <v>1.5</v>
      </c>
      <c r="D239" s="35">
        <f t="shared" si="70"/>
        <v>0.5</v>
      </c>
      <c r="E239" s="66">
        <f t="shared" si="71"/>
        <v>0.5</v>
      </c>
      <c r="F239" s="143"/>
      <c r="G239" s="35">
        <f>0.5+0.5</f>
        <v>1</v>
      </c>
      <c r="H239" s="68"/>
    </row>
    <row r="240" spans="1:9" x14ac:dyDescent="0.25">
      <c r="A240" s="36">
        <v>9</v>
      </c>
      <c r="B240" s="76" t="s">
        <v>53</v>
      </c>
      <c r="C240" s="35">
        <v>0.5</v>
      </c>
      <c r="D240" s="35">
        <f t="shared" si="70"/>
        <v>0</v>
      </c>
      <c r="E240" s="66">
        <f t="shared" si="71"/>
        <v>0</v>
      </c>
      <c r="F240" s="143"/>
      <c r="G240" s="35">
        <v>0.5</v>
      </c>
      <c r="H240" s="68"/>
    </row>
    <row r="241" spans="1:9" x14ac:dyDescent="0.25">
      <c r="A241" s="36">
        <v>10</v>
      </c>
      <c r="B241" s="76" t="s">
        <v>246</v>
      </c>
      <c r="C241" s="35">
        <f>0.5+0.5</f>
        <v>1</v>
      </c>
      <c r="D241" s="35">
        <f t="shared" si="70"/>
        <v>0</v>
      </c>
      <c r="E241" s="66">
        <f t="shared" si="71"/>
        <v>0</v>
      </c>
      <c r="F241" s="143"/>
      <c r="G241" s="35">
        <v>1</v>
      </c>
      <c r="H241" s="68"/>
    </row>
    <row r="242" spans="1:9" x14ac:dyDescent="0.25">
      <c r="A242" s="36">
        <v>11</v>
      </c>
      <c r="B242" s="88" t="s">
        <v>64</v>
      </c>
      <c r="C242" s="35">
        <f>21-0.5+0.5</f>
        <v>21</v>
      </c>
      <c r="D242" s="35">
        <f t="shared" si="70"/>
        <v>0</v>
      </c>
      <c r="E242" s="66">
        <f t="shared" si="71"/>
        <v>0</v>
      </c>
      <c r="F242" s="143"/>
      <c r="G242" s="35">
        <f>12+0.5+1.25+2.25+0.5</f>
        <v>16.5</v>
      </c>
      <c r="H242" s="68">
        <v>4.5</v>
      </c>
    </row>
    <row r="243" spans="1:9" x14ac:dyDescent="0.25">
      <c r="A243" s="61">
        <v>12</v>
      </c>
      <c r="B243" s="88" t="s">
        <v>96</v>
      </c>
      <c r="C243" s="35">
        <f>7-0.5-1-2-1-2-0.5</f>
        <v>0</v>
      </c>
      <c r="D243" s="35">
        <f t="shared" si="70"/>
        <v>0</v>
      </c>
      <c r="E243" s="66">
        <f t="shared" si="71"/>
        <v>0</v>
      </c>
      <c r="F243" s="143"/>
      <c r="G243" s="35">
        <f>2+0.25-1-1-0.25</f>
        <v>0</v>
      </c>
      <c r="H243" s="68">
        <f>3.5+1-0.25-2-1-1-0.25</f>
        <v>0</v>
      </c>
    </row>
    <row r="244" spans="1:9" x14ac:dyDescent="0.25">
      <c r="A244" s="36">
        <v>13</v>
      </c>
      <c r="B244" s="89" t="s">
        <v>117</v>
      </c>
      <c r="C244" s="35">
        <v>0.5</v>
      </c>
      <c r="D244" s="35">
        <f t="shared" si="70"/>
        <v>0</v>
      </c>
      <c r="E244" s="66">
        <f t="shared" si="71"/>
        <v>0</v>
      </c>
      <c r="F244" s="143"/>
      <c r="G244" s="35"/>
      <c r="H244" s="68">
        <v>0.5</v>
      </c>
    </row>
    <row r="245" spans="1:9" x14ac:dyDescent="0.25">
      <c r="A245" s="36">
        <v>14</v>
      </c>
      <c r="B245" s="88" t="s">
        <v>45</v>
      </c>
      <c r="C245" s="35">
        <v>10</v>
      </c>
      <c r="D245" s="35">
        <f t="shared" si="70"/>
        <v>0</v>
      </c>
      <c r="E245" s="66">
        <f t="shared" si="71"/>
        <v>0</v>
      </c>
      <c r="F245" s="143"/>
      <c r="G245" s="35">
        <f>6.25+0.25+2.25</f>
        <v>8.75</v>
      </c>
      <c r="H245" s="68">
        <v>1.25</v>
      </c>
    </row>
    <row r="246" spans="1:9" x14ac:dyDescent="0.25">
      <c r="A246" s="36">
        <v>15</v>
      </c>
      <c r="B246" s="88" t="s">
        <v>476</v>
      </c>
      <c r="C246" s="35">
        <v>1</v>
      </c>
      <c r="D246" s="35">
        <f t="shared" si="70"/>
        <v>0</v>
      </c>
      <c r="E246" s="66">
        <f t="shared" si="71"/>
        <v>0</v>
      </c>
      <c r="F246" s="143"/>
      <c r="G246" s="35">
        <v>1</v>
      </c>
      <c r="H246" s="68"/>
    </row>
    <row r="247" spans="1:9" x14ac:dyDescent="0.25">
      <c r="A247" s="47">
        <v>16</v>
      </c>
      <c r="B247" s="88" t="s">
        <v>478</v>
      </c>
      <c r="C247" s="35">
        <f>2+1+2</f>
        <v>5</v>
      </c>
      <c r="D247" s="35">
        <f t="shared" si="70"/>
        <v>0</v>
      </c>
      <c r="E247" s="66">
        <f t="shared" si="71"/>
        <v>0</v>
      </c>
      <c r="F247" s="143"/>
      <c r="G247" s="35">
        <f>1</f>
        <v>1</v>
      </c>
      <c r="H247" s="68">
        <f>2+1+1</f>
        <v>4</v>
      </c>
    </row>
    <row r="248" spans="1:9" x14ac:dyDescent="0.25">
      <c r="A248" s="61"/>
      <c r="B248" s="144" t="s">
        <v>125</v>
      </c>
      <c r="C248" s="145">
        <f t="shared" ref="C248:H248" si="72">SUM(C232:C247)</f>
        <v>69.25</v>
      </c>
      <c r="D248" s="145">
        <f t="shared" si="72"/>
        <v>0.5</v>
      </c>
      <c r="E248" s="145">
        <f t="shared" si="72"/>
        <v>0.5</v>
      </c>
      <c r="F248" s="146">
        <f t="shared" si="72"/>
        <v>0</v>
      </c>
      <c r="G248" s="145">
        <f t="shared" si="72"/>
        <v>46.5</v>
      </c>
      <c r="H248" s="145">
        <f t="shared" si="72"/>
        <v>22.25</v>
      </c>
      <c r="I248" s="17">
        <f>SUM(E248:H248)</f>
        <v>69.25</v>
      </c>
    </row>
    <row r="249" spans="1:9" x14ac:dyDescent="0.25">
      <c r="A249" s="147"/>
      <c r="B249" s="144"/>
      <c r="C249" s="148">
        <f t="shared" ref="C249:H249" si="73">SUM(C250:C253)</f>
        <v>69.25</v>
      </c>
      <c r="D249" s="148">
        <f t="shared" si="73"/>
        <v>0.5</v>
      </c>
      <c r="E249" s="148">
        <f t="shared" si="73"/>
        <v>0.5</v>
      </c>
      <c r="F249" s="149">
        <f t="shared" si="73"/>
        <v>0</v>
      </c>
      <c r="G249" s="148">
        <f t="shared" si="73"/>
        <v>46.5</v>
      </c>
      <c r="H249" s="148">
        <f t="shared" si="73"/>
        <v>22.25</v>
      </c>
      <c r="I249" s="17">
        <f>SUM(E249:H249)</f>
        <v>69.25</v>
      </c>
    </row>
    <row r="250" spans="1:9" x14ac:dyDescent="0.25">
      <c r="A250" s="147"/>
      <c r="B250" s="150" t="s">
        <v>126</v>
      </c>
      <c r="C250" s="145">
        <f t="shared" ref="C250:H250" si="74">SUM(C232:C238)</f>
        <v>28.75</v>
      </c>
      <c r="D250" s="145">
        <f t="shared" si="74"/>
        <v>0</v>
      </c>
      <c r="E250" s="145">
        <f t="shared" si="74"/>
        <v>0</v>
      </c>
      <c r="F250" s="146">
        <f t="shared" si="74"/>
        <v>0</v>
      </c>
      <c r="G250" s="145">
        <f t="shared" si="74"/>
        <v>16.75</v>
      </c>
      <c r="H250" s="145">
        <f t="shared" si="74"/>
        <v>12</v>
      </c>
      <c r="I250" s="17">
        <f t="shared" ref="I250:I264" si="75">SUM(E250:H250)</f>
        <v>28.75</v>
      </c>
    </row>
    <row r="251" spans="1:9" x14ac:dyDescent="0.25">
      <c r="A251" s="147"/>
      <c r="B251" s="150" t="s">
        <v>112</v>
      </c>
      <c r="C251" s="145">
        <f t="shared" ref="C251:H251" si="76">SUM(C239:C243)</f>
        <v>24</v>
      </c>
      <c r="D251" s="145">
        <f t="shared" si="76"/>
        <v>0.5</v>
      </c>
      <c r="E251" s="145">
        <f t="shared" si="76"/>
        <v>0.5</v>
      </c>
      <c r="F251" s="146">
        <f t="shared" si="76"/>
        <v>0</v>
      </c>
      <c r="G251" s="145">
        <f t="shared" si="76"/>
        <v>19</v>
      </c>
      <c r="H251" s="145">
        <f t="shared" si="76"/>
        <v>4.5</v>
      </c>
      <c r="I251" s="17">
        <f t="shared" si="75"/>
        <v>24</v>
      </c>
    </row>
    <row r="252" spans="1:9" x14ac:dyDescent="0.25">
      <c r="A252" s="147"/>
      <c r="B252" s="150" t="s">
        <v>113</v>
      </c>
      <c r="C252" s="145">
        <f t="shared" ref="C252:H252" si="77">SUM(C244:C245)</f>
        <v>10.5</v>
      </c>
      <c r="D252" s="145">
        <f t="shared" si="77"/>
        <v>0</v>
      </c>
      <c r="E252" s="145">
        <f t="shared" si="77"/>
        <v>0</v>
      </c>
      <c r="F252" s="146">
        <f t="shared" si="77"/>
        <v>0</v>
      </c>
      <c r="G252" s="145">
        <f t="shared" si="77"/>
        <v>8.75</v>
      </c>
      <c r="H252" s="145">
        <f t="shared" si="77"/>
        <v>1.75</v>
      </c>
      <c r="I252" s="17">
        <f t="shared" si="75"/>
        <v>10.5</v>
      </c>
    </row>
    <row r="253" spans="1:9" x14ac:dyDescent="0.25">
      <c r="A253" s="147"/>
      <c r="B253" s="150" t="s">
        <v>114</v>
      </c>
      <c r="C253" s="145">
        <f t="shared" ref="C253:H253" si="78">C246+C247</f>
        <v>6</v>
      </c>
      <c r="D253" s="145">
        <f t="shared" si="78"/>
        <v>0</v>
      </c>
      <c r="E253" s="145">
        <f t="shared" si="78"/>
        <v>0</v>
      </c>
      <c r="F253" s="146">
        <f t="shared" si="78"/>
        <v>0</v>
      </c>
      <c r="G253" s="145">
        <f t="shared" si="78"/>
        <v>2</v>
      </c>
      <c r="H253" s="145">
        <f t="shared" si="78"/>
        <v>4</v>
      </c>
      <c r="I253" s="17">
        <f t="shared" si="75"/>
        <v>6</v>
      </c>
    </row>
    <row r="254" spans="1:9" x14ac:dyDescent="0.25">
      <c r="A254" s="147"/>
      <c r="B254" s="151" t="s">
        <v>127</v>
      </c>
      <c r="C254" s="73"/>
      <c r="D254" s="73"/>
      <c r="E254" s="73"/>
      <c r="F254" s="74"/>
      <c r="G254" s="60"/>
      <c r="H254" s="61"/>
    </row>
    <row r="255" spans="1:9" ht="26.25" x14ac:dyDescent="0.25">
      <c r="A255" s="61">
        <v>1</v>
      </c>
      <c r="B255" s="152" t="s">
        <v>128</v>
      </c>
      <c r="C255" s="66">
        <v>1</v>
      </c>
      <c r="D255" s="66">
        <f>C255-G255-H255</f>
        <v>0</v>
      </c>
      <c r="E255" s="66">
        <f>D255-F255</f>
        <v>0</v>
      </c>
      <c r="F255" s="67"/>
      <c r="G255" s="60"/>
      <c r="H255" s="66">
        <v>1</v>
      </c>
      <c r="I255" s="17">
        <f t="shared" si="75"/>
        <v>1</v>
      </c>
    </row>
    <row r="256" spans="1:9" x14ac:dyDescent="0.25">
      <c r="A256" s="61">
        <v>2</v>
      </c>
      <c r="B256" s="88" t="s">
        <v>129</v>
      </c>
      <c r="C256" s="66">
        <v>4</v>
      </c>
      <c r="D256" s="66">
        <f>C256-G256-H256</f>
        <v>0</v>
      </c>
      <c r="E256" s="66">
        <f>D256-F256</f>
        <v>0</v>
      </c>
      <c r="F256" s="67"/>
      <c r="G256" s="60"/>
      <c r="H256" s="66">
        <v>4</v>
      </c>
      <c r="I256" s="17">
        <f t="shared" si="75"/>
        <v>4</v>
      </c>
    </row>
    <row r="257" spans="1:9" x14ac:dyDescent="0.25">
      <c r="A257" s="61"/>
      <c r="B257" s="141" t="s">
        <v>54</v>
      </c>
      <c r="C257" s="73">
        <f t="shared" ref="C257:H257" si="79">SUM(C255:C256)</f>
        <v>5</v>
      </c>
      <c r="D257" s="73">
        <f t="shared" si="79"/>
        <v>0</v>
      </c>
      <c r="E257" s="73">
        <f t="shared" si="79"/>
        <v>0</v>
      </c>
      <c r="F257" s="74">
        <f t="shared" si="79"/>
        <v>0</v>
      </c>
      <c r="G257" s="73">
        <f t="shared" si="79"/>
        <v>0</v>
      </c>
      <c r="H257" s="75">
        <f t="shared" si="79"/>
        <v>5</v>
      </c>
      <c r="I257" s="17">
        <f t="shared" si="75"/>
        <v>5</v>
      </c>
    </row>
    <row r="258" spans="1:9" ht="29.25" x14ac:dyDescent="0.25">
      <c r="A258" s="61"/>
      <c r="B258" s="153" t="s">
        <v>130</v>
      </c>
      <c r="C258" s="139">
        <f t="shared" ref="C258:H258" si="80">C257+C248+C230</f>
        <v>78.25</v>
      </c>
      <c r="D258" s="139">
        <f t="shared" si="80"/>
        <v>0.5</v>
      </c>
      <c r="E258" s="139">
        <f t="shared" si="80"/>
        <v>0.5</v>
      </c>
      <c r="F258" s="154">
        <f t="shared" si="80"/>
        <v>0</v>
      </c>
      <c r="G258" s="139">
        <f t="shared" si="80"/>
        <v>49</v>
      </c>
      <c r="H258" s="139">
        <f t="shared" si="80"/>
        <v>28.75</v>
      </c>
      <c r="I258" s="17">
        <f t="shared" si="75"/>
        <v>78.25</v>
      </c>
    </row>
    <row r="259" spans="1:9" x14ac:dyDescent="0.25">
      <c r="A259" s="61"/>
      <c r="B259" s="153" t="s">
        <v>131</v>
      </c>
      <c r="C259" s="155">
        <f t="shared" ref="C259:H259" si="81">SUM(C260:C264)-C261</f>
        <v>78.25</v>
      </c>
      <c r="D259" s="155">
        <f t="shared" si="81"/>
        <v>0.5</v>
      </c>
      <c r="E259" s="155">
        <f t="shared" si="81"/>
        <v>0.5</v>
      </c>
      <c r="F259" s="156">
        <f t="shared" si="81"/>
        <v>0</v>
      </c>
      <c r="G259" s="155">
        <f t="shared" si="81"/>
        <v>49</v>
      </c>
      <c r="H259" s="155">
        <f t="shared" si="81"/>
        <v>28.75</v>
      </c>
      <c r="I259" s="17">
        <f t="shared" si="75"/>
        <v>78.25</v>
      </c>
    </row>
    <row r="260" spans="1:9" x14ac:dyDescent="0.25">
      <c r="A260" s="61"/>
      <c r="B260" s="157" t="s">
        <v>110</v>
      </c>
      <c r="C260" s="139">
        <f t="shared" ref="C260:H260" si="82">C250+C226</f>
        <v>29.75</v>
      </c>
      <c r="D260" s="139">
        <f t="shared" si="82"/>
        <v>0</v>
      </c>
      <c r="E260" s="139">
        <f t="shared" si="82"/>
        <v>0</v>
      </c>
      <c r="F260" s="154">
        <f t="shared" si="82"/>
        <v>0</v>
      </c>
      <c r="G260" s="139">
        <f t="shared" si="82"/>
        <v>17.25</v>
      </c>
      <c r="H260" s="139">
        <f t="shared" si="82"/>
        <v>12.5</v>
      </c>
      <c r="I260" s="17">
        <f t="shared" si="75"/>
        <v>29.75</v>
      </c>
    </row>
    <row r="261" spans="1:9" x14ac:dyDescent="0.25">
      <c r="A261" s="61"/>
      <c r="B261" s="157" t="s">
        <v>132</v>
      </c>
      <c r="C261" s="139">
        <f t="shared" ref="C261:H261" si="83">C239+C237+C235+C234</f>
        <v>19.75</v>
      </c>
      <c r="D261" s="139">
        <f t="shared" si="83"/>
        <v>0.5</v>
      </c>
      <c r="E261" s="139">
        <f t="shared" si="83"/>
        <v>0.5</v>
      </c>
      <c r="F261" s="154">
        <f t="shared" si="83"/>
        <v>0</v>
      </c>
      <c r="G261" s="139">
        <f t="shared" si="83"/>
        <v>16.75</v>
      </c>
      <c r="H261" s="139">
        <f t="shared" si="83"/>
        <v>2.5</v>
      </c>
      <c r="I261" s="17">
        <f t="shared" si="75"/>
        <v>19.75</v>
      </c>
    </row>
    <row r="262" spans="1:9" x14ac:dyDescent="0.25">
      <c r="A262" s="61"/>
      <c r="B262" s="157" t="s">
        <v>112</v>
      </c>
      <c r="C262" s="139">
        <f t="shared" ref="C262:H262" si="84">C251+C255+C256+C227</f>
        <v>30</v>
      </c>
      <c r="D262" s="139">
        <f t="shared" si="84"/>
        <v>0.5</v>
      </c>
      <c r="E262" s="139">
        <f t="shared" si="84"/>
        <v>0.5</v>
      </c>
      <c r="F262" s="154">
        <f t="shared" si="84"/>
        <v>0</v>
      </c>
      <c r="G262" s="139">
        <f t="shared" si="84"/>
        <v>19.5</v>
      </c>
      <c r="H262" s="139">
        <f t="shared" si="84"/>
        <v>10</v>
      </c>
      <c r="I262" s="17">
        <f t="shared" si="75"/>
        <v>30</v>
      </c>
    </row>
    <row r="263" spans="1:9" x14ac:dyDescent="0.25">
      <c r="A263" s="61"/>
      <c r="B263" s="157" t="s">
        <v>113</v>
      </c>
      <c r="C263" s="139">
        <f t="shared" ref="C263:H264" si="85">C252+C228</f>
        <v>11.5</v>
      </c>
      <c r="D263" s="139">
        <f t="shared" si="85"/>
        <v>0</v>
      </c>
      <c r="E263" s="139">
        <f t="shared" si="85"/>
        <v>0</v>
      </c>
      <c r="F263" s="154">
        <f t="shared" si="85"/>
        <v>0</v>
      </c>
      <c r="G263" s="139">
        <f t="shared" si="85"/>
        <v>9.75</v>
      </c>
      <c r="H263" s="139">
        <f t="shared" si="85"/>
        <v>1.75</v>
      </c>
      <c r="I263" s="17">
        <f t="shared" si="75"/>
        <v>11.5</v>
      </c>
    </row>
    <row r="264" spans="1:9" x14ac:dyDescent="0.25">
      <c r="A264" s="61"/>
      <c r="B264" s="158" t="s">
        <v>114</v>
      </c>
      <c r="C264" s="139">
        <f t="shared" si="85"/>
        <v>7</v>
      </c>
      <c r="D264" s="139">
        <f t="shared" si="85"/>
        <v>0</v>
      </c>
      <c r="E264" s="139">
        <f t="shared" si="85"/>
        <v>0</v>
      </c>
      <c r="F264" s="154">
        <f t="shared" si="85"/>
        <v>0</v>
      </c>
      <c r="G264" s="139">
        <f t="shared" si="85"/>
        <v>2.5</v>
      </c>
      <c r="H264" s="139">
        <f t="shared" si="85"/>
        <v>4.5</v>
      </c>
      <c r="I264" s="17">
        <f t="shared" si="75"/>
        <v>7</v>
      </c>
    </row>
    <row r="265" spans="1:9" ht="18.75" x14ac:dyDescent="0.3">
      <c r="A265" s="61"/>
      <c r="B265" s="101" t="s">
        <v>133</v>
      </c>
      <c r="C265" s="91"/>
      <c r="D265" s="91"/>
      <c r="E265" s="91"/>
      <c r="F265" s="92"/>
      <c r="G265" s="60"/>
      <c r="H265" s="61"/>
    </row>
    <row r="266" spans="1:9" x14ac:dyDescent="0.25">
      <c r="A266" s="61"/>
      <c r="B266" s="671" t="s">
        <v>39</v>
      </c>
      <c r="C266" s="671"/>
      <c r="D266" s="159"/>
      <c r="E266" s="159"/>
      <c r="F266" s="160"/>
      <c r="G266" s="60"/>
      <c r="H266" s="61"/>
    </row>
    <row r="267" spans="1:9" x14ac:dyDescent="0.25">
      <c r="A267" s="61">
        <v>1</v>
      </c>
      <c r="B267" s="86" t="s">
        <v>134</v>
      </c>
      <c r="C267" s="68">
        <v>0.5</v>
      </c>
      <c r="D267" s="68">
        <f>C267-G267-H267</f>
        <v>0.25</v>
      </c>
      <c r="E267" s="66">
        <f t="shared" ref="E267:E273" si="86">D267-F267</f>
        <v>0.25</v>
      </c>
      <c r="F267" s="71"/>
      <c r="G267" s="60">
        <v>0.25</v>
      </c>
      <c r="H267" s="68"/>
    </row>
    <row r="268" spans="1:9" ht="26.25" x14ac:dyDescent="0.25">
      <c r="A268" s="61">
        <v>2</v>
      </c>
      <c r="B268" s="103" t="s">
        <v>135</v>
      </c>
      <c r="C268" s="68">
        <v>1</v>
      </c>
      <c r="D268" s="68">
        <f>C268-G268-H268</f>
        <v>0.5</v>
      </c>
      <c r="E268" s="66">
        <f t="shared" si="86"/>
        <v>0.5</v>
      </c>
      <c r="F268" s="71"/>
      <c r="G268" s="102">
        <v>0.5</v>
      </c>
      <c r="H268" s="68"/>
    </row>
    <row r="269" spans="1:9" x14ac:dyDescent="0.25">
      <c r="A269" s="61">
        <v>3</v>
      </c>
      <c r="B269" s="76" t="s">
        <v>43</v>
      </c>
      <c r="C269" s="68">
        <v>1</v>
      </c>
      <c r="D269" s="68">
        <f>C269-G269-H269</f>
        <v>0.5</v>
      </c>
      <c r="E269" s="66">
        <f t="shared" si="86"/>
        <v>0.5</v>
      </c>
      <c r="F269" s="71"/>
      <c r="G269" s="102">
        <v>0.5</v>
      </c>
      <c r="H269" s="68"/>
    </row>
    <row r="270" spans="1:9" x14ac:dyDescent="0.25">
      <c r="A270" s="61">
        <v>4</v>
      </c>
      <c r="B270" s="76" t="s">
        <v>24</v>
      </c>
      <c r="C270" s="68">
        <v>1</v>
      </c>
      <c r="D270" s="68">
        <v>0.5</v>
      </c>
      <c r="E270" s="66">
        <f t="shared" si="86"/>
        <v>0.5</v>
      </c>
      <c r="F270" s="71"/>
      <c r="G270" s="102">
        <v>0.5</v>
      </c>
      <c r="H270" s="68"/>
    </row>
    <row r="271" spans="1:9" x14ac:dyDescent="0.25">
      <c r="A271" s="61"/>
      <c r="B271" s="76" t="s">
        <v>64</v>
      </c>
      <c r="C271" s="68">
        <f>1-1</f>
        <v>0</v>
      </c>
      <c r="D271" s="68">
        <f>C271-G271-H271</f>
        <v>0</v>
      </c>
      <c r="E271" s="66">
        <f t="shared" si="86"/>
        <v>0</v>
      </c>
      <c r="F271" s="71"/>
      <c r="G271" s="60"/>
      <c r="H271" s="68"/>
    </row>
    <row r="272" spans="1:9" x14ac:dyDescent="0.25">
      <c r="A272" s="61">
        <v>5</v>
      </c>
      <c r="B272" s="76" t="s">
        <v>44</v>
      </c>
      <c r="C272" s="68">
        <v>1</v>
      </c>
      <c r="D272" s="68">
        <f>C272-G272-H272</f>
        <v>0.5</v>
      </c>
      <c r="E272" s="66">
        <f t="shared" si="86"/>
        <v>0.5</v>
      </c>
      <c r="F272" s="71"/>
      <c r="G272" s="102">
        <v>0.5</v>
      </c>
      <c r="H272" s="68"/>
    </row>
    <row r="273" spans="1:8" x14ac:dyDescent="0.25">
      <c r="A273" s="61">
        <v>6</v>
      </c>
      <c r="B273" s="76" t="s">
        <v>35</v>
      </c>
      <c r="C273" s="68">
        <v>1</v>
      </c>
      <c r="D273" s="68">
        <f>C273-G273-H273</f>
        <v>0.75</v>
      </c>
      <c r="E273" s="66">
        <f t="shared" si="86"/>
        <v>0.75</v>
      </c>
      <c r="F273" s="71"/>
      <c r="G273" s="60">
        <v>0.25</v>
      </c>
      <c r="H273" s="68"/>
    </row>
    <row r="274" spans="1:8" x14ac:dyDescent="0.25">
      <c r="A274" s="61"/>
      <c r="B274" s="161" t="s">
        <v>54</v>
      </c>
      <c r="C274" s="91">
        <f t="shared" ref="C274:H274" si="87">SUM(C267:C273)</f>
        <v>5.5</v>
      </c>
      <c r="D274" s="91">
        <f t="shared" si="87"/>
        <v>3</v>
      </c>
      <c r="E274" s="91">
        <f t="shared" si="87"/>
        <v>3</v>
      </c>
      <c r="F274" s="92">
        <f t="shared" si="87"/>
        <v>0</v>
      </c>
      <c r="G274" s="91">
        <f t="shared" si="87"/>
        <v>2.5</v>
      </c>
      <c r="H274" s="162">
        <f t="shared" si="87"/>
        <v>0</v>
      </c>
    </row>
    <row r="275" spans="1:8" x14ac:dyDescent="0.25">
      <c r="A275" s="61"/>
      <c r="B275" s="163" t="s">
        <v>136</v>
      </c>
      <c r="C275" s="68"/>
      <c r="D275" s="68"/>
      <c r="E275" s="68"/>
      <c r="F275" s="71"/>
      <c r="G275" s="60"/>
      <c r="H275" s="61"/>
    </row>
    <row r="276" spans="1:8" x14ac:dyDescent="0.25">
      <c r="A276" s="61">
        <v>1</v>
      </c>
      <c r="B276" s="86" t="s">
        <v>47</v>
      </c>
      <c r="C276" s="68">
        <v>1</v>
      </c>
      <c r="D276" s="68">
        <f t="shared" ref="D276:D284" si="88">C276-G276-H276</f>
        <v>0</v>
      </c>
      <c r="E276" s="66">
        <f t="shared" ref="E276:E284" si="89">D276-F276</f>
        <v>0</v>
      </c>
      <c r="F276" s="71"/>
      <c r="G276" s="102">
        <v>1</v>
      </c>
      <c r="H276" s="68"/>
    </row>
    <row r="277" spans="1:8" x14ac:dyDescent="0.25">
      <c r="A277" s="61"/>
      <c r="B277" s="76" t="s">
        <v>549</v>
      </c>
      <c r="C277" s="68">
        <v>0.25</v>
      </c>
      <c r="D277" s="68">
        <f t="shared" si="88"/>
        <v>0</v>
      </c>
      <c r="E277" s="66">
        <f t="shared" si="89"/>
        <v>0</v>
      </c>
      <c r="F277" s="71"/>
      <c r="G277" s="102"/>
      <c r="H277" s="68">
        <v>0.25</v>
      </c>
    </row>
    <row r="278" spans="1:8" x14ac:dyDescent="0.25">
      <c r="A278" s="61"/>
      <c r="B278" s="76" t="s">
        <v>551</v>
      </c>
      <c r="C278" s="68">
        <v>0.25</v>
      </c>
      <c r="D278" s="68">
        <f t="shared" si="88"/>
        <v>0</v>
      </c>
      <c r="E278" s="66">
        <f t="shared" si="89"/>
        <v>0</v>
      </c>
      <c r="F278" s="71"/>
      <c r="G278" s="102"/>
      <c r="H278" s="68">
        <v>0.25</v>
      </c>
    </row>
    <row r="279" spans="1:8" x14ac:dyDescent="0.25">
      <c r="A279" s="61"/>
      <c r="B279" s="76" t="s">
        <v>536</v>
      </c>
      <c r="C279" s="68">
        <v>0.25</v>
      </c>
      <c r="D279" s="68">
        <f t="shared" si="88"/>
        <v>0</v>
      </c>
      <c r="E279" s="66">
        <f t="shared" si="89"/>
        <v>0</v>
      </c>
      <c r="F279" s="71"/>
      <c r="G279" s="102"/>
      <c r="H279" s="68">
        <v>0.25</v>
      </c>
    </row>
    <row r="280" spans="1:8" x14ac:dyDescent="0.25">
      <c r="A280" s="61"/>
      <c r="B280" s="76" t="s">
        <v>563</v>
      </c>
      <c r="C280" s="68">
        <v>0.25</v>
      </c>
      <c r="D280" s="68">
        <f t="shared" si="88"/>
        <v>0</v>
      </c>
      <c r="E280" s="66">
        <f t="shared" si="89"/>
        <v>0</v>
      </c>
      <c r="F280" s="71"/>
      <c r="G280" s="102"/>
      <c r="H280" s="68">
        <v>0.25</v>
      </c>
    </row>
    <row r="281" spans="1:8" x14ac:dyDescent="0.25">
      <c r="A281" s="61"/>
      <c r="B281" s="76" t="s">
        <v>550</v>
      </c>
      <c r="C281" s="68">
        <v>0.25</v>
      </c>
      <c r="D281" s="68">
        <f t="shared" si="88"/>
        <v>0</v>
      </c>
      <c r="E281" s="66">
        <f t="shared" si="89"/>
        <v>0</v>
      </c>
      <c r="F281" s="71"/>
      <c r="G281" s="102"/>
      <c r="H281" s="68">
        <v>0.25</v>
      </c>
    </row>
    <row r="282" spans="1:8" x14ac:dyDescent="0.25">
      <c r="A282" s="61"/>
      <c r="B282" s="76" t="s">
        <v>70</v>
      </c>
      <c r="C282" s="68">
        <v>0.25</v>
      </c>
      <c r="D282" s="68">
        <f t="shared" si="88"/>
        <v>0</v>
      </c>
      <c r="E282" s="66">
        <f t="shared" si="89"/>
        <v>0</v>
      </c>
      <c r="F282" s="71"/>
      <c r="G282" s="102"/>
      <c r="H282" s="68">
        <v>0.25</v>
      </c>
    </row>
    <row r="283" spans="1:8" x14ac:dyDescent="0.25">
      <c r="A283" s="61">
        <v>2</v>
      </c>
      <c r="B283" s="86" t="s">
        <v>53</v>
      </c>
      <c r="C283" s="68">
        <v>1</v>
      </c>
      <c r="D283" s="68">
        <f t="shared" si="88"/>
        <v>0</v>
      </c>
      <c r="E283" s="66">
        <f t="shared" si="89"/>
        <v>0</v>
      </c>
      <c r="F283" s="71"/>
      <c r="G283" s="102">
        <v>1</v>
      </c>
      <c r="H283" s="68"/>
    </row>
    <row r="284" spans="1:8" x14ac:dyDescent="0.25">
      <c r="A284" s="61">
        <v>3</v>
      </c>
      <c r="B284" s="76" t="s">
        <v>64</v>
      </c>
      <c r="C284" s="68">
        <v>1</v>
      </c>
      <c r="D284" s="68">
        <f t="shared" si="88"/>
        <v>0</v>
      </c>
      <c r="E284" s="66">
        <f t="shared" si="89"/>
        <v>0</v>
      </c>
      <c r="F284" s="71"/>
      <c r="G284" s="102"/>
      <c r="H284" s="68">
        <v>1</v>
      </c>
    </row>
    <row r="285" spans="1:8" x14ac:dyDescent="0.25">
      <c r="A285" s="61"/>
      <c r="B285" s="153" t="s">
        <v>564</v>
      </c>
      <c r="C285" s="164">
        <f t="shared" ref="C285:H285" si="90">SUM(C276:C284)</f>
        <v>4.5</v>
      </c>
      <c r="D285" s="164">
        <f t="shared" si="90"/>
        <v>0</v>
      </c>
      <c r="E285" s="164">
        <f t="shared" si="90"/>
        <v>0</v>
      </c>
      <c r="F285" s="165">
        <f t="shared" si="90"/>
        <v>0</v>
      </c>
      <c r="G285" s="164">
        <f t="shared" si="90"/>
        <v>2</v>
      </c>
      <c r="H285" s="164">
        <f t="shared" si="90"/>
        <v>2.5</v>
      </c>
    </row>
    <row r="286" spans="1:8" x14ac:dyDescent="0.25">
      <c r="A286" s="61"/>
      <c r="B286" s="153"/>
      <c r="C286" s="83">
        <f t="shared" ref="C286:H286" si="91">SUM(C287:C288)</f>
        <v>4.5</v>
      </c>
      <c r="D286" s="83">
        <f t="shared" si="91"/>
        <v>0</v>
      </c>
      <c r="E286" s="83">
        <f t="shared" si="91"/>
        <v>0</v>
      </c>
      <c r="F286" s="84">
        <f t="shared" si="91"/>
        <v>0</v>
      </c>
      <c r="G286" s="83">
        <f t="shared" si="91"/>
        <v>2</v>
      </c>
      <c r="H286" s="83">
        <f t="shared" si="91"/>
        <v>2.5</v>
      </c>
    </row>
    <row r="287" spans="1:8" x14ac:dyDescent="0.25">
      <c r="A287" s="61"/>
      <c r="B287" s="157" t="s">
        <v>110</v>
      </c>
      <c r="C287" s="164">
        <f t="shared" ref="C287:H287" si="92">SUM(C276:C282)</f>
        <v>2.5</v>
      </c>
      <c r="D287" s="164">
        <f t="shared" si="92"/>
        <v>0</v>
      </c>
      <c r="E287" s="164">
        <f t="shared" si="92"/>
        <v>0</v>
      </c>
      <c r="F287" s="165">
        <f t="shared" si="92"/>
        <v>0</v>
      </c>
      <c r="G287" s="164">
        <f t="shared" si="92"/>
        <v>1</v>
      </c>
      <c r="H287" s="164">
        <f t="shared" si="92"/>
        <v>1.5</v>
      </c>
    </row>
    <row r="288" spans="1:8" x14ac:dyDescent="0.25">
      <c r="A288" s="61"/>
      <c r="B288" s="157" t="s">
        <v>112</v>
      </c>
      <c r="C288" s="164">
        <f t="shared" ref="C288:H288" si="93">SUM(C283:C284)</f>
        <v>2</v>
      </c>
      <c r="D288" s="164">
        <f t="shared" si="93"/>
        <v>0</v>
      </c>
      <c r="E288" s="164">
        <f t="shared" si="93"/>
        <v>0</v>
      </c>
      <c r="F288" s="165">
        <f t="shared" si="93"/>
        <v>0</v>
      </c>
      <c r="G288" s="164">
        <f t="shared" si="93"/>
        <v>1</v>
      </c>
      <c r="H288" s="164">
        <f t="shared" si="93"/>
        <v>1</v>
      </c>
    </row>
    <row r="289" spans="1:8" x14ac:dyDescent="0.25">
      <c r="A289" s="61"/>
      <c r="B289" s="90" t="s">
        <v>561</v>
      </c>
      <c r="C289" s="68"/>
      <c r="D289" s="68"/>
      <c r="E289" s="68"/>
      <c r="F289" s="71"/>
      <c r="G289" s="102"/>
      <c r="H289" s="68"/>
    </row>
    <row r="290" spans="1:8" x14ac:dyDescent="0.25">
      <c r="A290" s="61">
        <v>1</v>
      </c>
      <c r="B290" s="76" t="s">
        <v>562</v>
      </c>
      <c r="C290" s="68">
        <v>2</v>
      </c>
      <c r="D290" s="68"/>
      <c r="E290" s="66">
        <f>D290-F290</f>
        <v>0</v>
      </c>
      <c r="F290" s="71"/>
      <c r="G290" s="102">
        <v>2</v>
      </c>
      <c r="H290" s="68"/>
    </row>
    <row r="291" spans="1:8" x14ac:dyDescent="0.25">
      <c r="A291" s="61"/>
      <c r="B291" s="161" t="s">
        <v>54</v>
      </c>
      <c r="C291" s="164">
        <f t="shared" ref="C291:H291" si="94">SUM(C290)</f>
        <v>2</v>
      </c>
      <c r="D291" s="164">
        <f t="shared" si="94"/>
        <v>0</v>
      </c>
      <c r="E291" s="164">
        <f t="shared" si="94"/>
        <v>0</v>
      </c>
      <c r="F291" s="165">
        <f t="shared" si="94"/>
        <v>0</v>
      </c>
      <c r="G291" s="164">
        <f t="shared" si="94"/>
        <v>2</v>
      </c>
      <c r="H291" s="164">
        <f t="shared" si="94"/>
        <v>0</v>
      </c>
    </row>
    <row r="292" spans="1:8" x14ac:dyDescent="0.25">
      <c r="A292" s="61"/>
      <c r="B292" s="120" t="s">
        <v>77</v>
      </c>
      <c r="C292" s="68"/>
      <c r="D292" s="68"/>
      <c r="E292" s="68"/>
      <c r="F292" s="71"/>
      <c r="G292" s="60"/>
      <c r="H292" s="61"/>
    </row>
    <row r="293" spans="1:8" ht="26.25" x14ac:dyDescent="0.25">
      <c r="A293" s="61">
        <v>1</v>
      </c>
      <c r="B293" s="88" t="s">
        <v>78</v>
      </c>
      <c r="C293" s="68">
        <v>4</v>
      </c>
      <c r="D293" s="68">
        <f>C293-G293-H293</f>
        <v>0</v>
      </c>
      <c r="E293" s="66">
        <f>D293-F293</f>
        <v>0</v>
      </c>
      <c r="F293" s="71"/>
      <c r="G293" s="102">
        <v>4</v>
      </c>
      <c r="H293" s="68"/>
    </row>
    <row r="294" spans="1:8" x14ac:dyDescent="0.25">
      <c r="A294" s="61">
        <v>2</v>
      </c>
      <c r="B294" s="88" t="s">
        <v>79</v>
      </c>
      <c r="C294" s="68">
        <v>4</v>
      </c>
      <c r="D294" s="68">
        <f>C294-G294-H294</f>
        <v>0</v>
      </c>
      <c r="E294" s="66">
        <f>D294-F294</f>
        <v>0</v>
      </c>
      <c r="F294" s="71"/>
      <c r="G294" s="102">
        <v>4</v>
      </c>
      <c r="H294" s="68"/>
    </row>
    <row r="295" spans="1:8" x14ac:dyDescent="0.25">
      <c r="A295" s="61"/>
      <c r="B295" s="161" t="s">
        <v>54</v>
      </c>
      <c r="C295" s="91">
        <f t="shared" ref="C295:H295" si="95">SUM(C293:C294)</f>
        <v>8</v>
      </c>
      <c r="D295" s="91">
        <f t="shared" si="95"/>
        <v>0</v>
      </c>
      <c r="E295" s="91">
        <f t="shared" si="95"/>
        <v>0</v>
      </c>
      <c r="F295" s="92">
        <f t="shared" si="95"/>
        <v>0</v>
      </c>
      <c r="G295" s="91">
        <f t="shared" si="95"/>
        <v>8</v>
      </c>
      <c r="H295" s="91">
        <f t="shared" si="95"/>
        <v>0</v>
      </c>
    </row>
    <row r="296" spans="1:8" x14ac:dyDescent="0.25">
      <c r="A296" s="61"/>
      <c r="B296" s="33" t="s">
        <v>55</v>
      </c>
      <c r="C296" s="73"/>
      <c r="D296" s="73"/>
      <c r="E296" s="73"/>
      <c r="F296" s="74"/>
      <c r="G296" s="60"/>
      <c r="H296" s="61"/>
    </row>
    <row r="297" spans="1:8" x14ac:dyDescent="0.25">
      <c r="A297" s="61">
        <v>1</v>
      </c>
      <c r="B297" s="76" t="s">
        <v>56</v>
      </c>
      <c r="C297" s="68">
        <f>1+0.25+0.25</f>
        <v>1.5</v>
      </c>
      <c r="D297" s="68">
        <f>C297-G297-H297</f>
        <v>0</v>
      </c>
      <c r="E297" s="66">
        <f>D297-F297</f>
        <v>0</v>
      </c>
      <c r="F297" s="71"/>
      <c r="G297" s="102">
        <v>1</v>
      </c>
      <c r="H297" s="68">
        <f>0.25+0.25</f>
        <v>0.5</v>
      </c>
    </row>
    <row r="298" spans="1:8" x14ac:dyDescent="0.25">
      <c r="A298" s="61">
        <v>2</v>
      </c>
      <c r="B298" s="76" t="s">
        <v>64</v>
      </c>
      <c r="C298" s="68">
        <f>1+1-1</f>
        <v>1</v>
      </c>
      <c r="D298" s="68">
        <f>C298-G298-H298</f>
        <v>0</v>
      </c>
      <c r="E298" s="66">
        <f>D298-F298</f>
        <v>0</v>
      </c>
      <c r="F298" s="71"/>
      <c r="G298" s="102">
        <v>1</v>
      </c>
      <c r="H298" s="68">
        <f>1-1</f>
        <v>0</v>
      </c>
    </row>
    <row r="299" spans="1:8" x14ac:dyDescent="0.25">
      <c r="A299" s="61"/>
      <c r="B299" s="72" t="s">
        <v>57</v>
      </c>
      <c r="C299" s="73">
        <f t="shared" ref="C299:H299" si="96">SUM(C297:C298)</f>
        <v>2.5</v>
      </c>
      <c r="D299" s="73">
        <f t="shared" si="96"/>
        <v>0</v>
      </c>
      <c r="E299" s="73">
        <f t="shared" si="96"/>
        <v>0</v>
      </c>
      <c r="F299" s="74">
        <f t="shared" si="96"/>
        <v>0</v>
      </c>
      <c r="G299" s="73">
        <f t="shared" si="96"/>
        <v>2</v>
      </c>
      <c r="H299" s="75">
        <f t="shared" si="96"/>
        <v>0.5</v>
      </c>
    </row>
    <row r="300" spans="1:8" x14ac:dyDescent="0.25">
      <c r="A300" s="61"/>
      <c r="B300" s="33" t="s">
        <v>60</v>
      </c>
      <c r="C300" s="68"/>
      <c r="D300" s="68"/>
      <c r="E300" s="68"/>
      <c r="F300" s="71"/>
      <c r="G300" s="60"/>
      <c r="H300" s="61"/>
    </row>
    <row r="301" spans="1:8" x14ac:dyDescent="0.25">
      <c r="A301" s="61">
        <v>1</v>
      </c>
      <c r="B301" s="76" t="s">
        <v>62</v>
      </c>
      <c r="C301" s="68">
        <f>0.5-0.25</f>
        <v>0.25</v>
      </c>
      <c r="D301" s="68">
        <f>C301-G301-H301</f>
        <v>0</v>
      </c>
      <c r="E301" s="66">
        <f>D301-F301</f>
        <v>0</v>
      </c>
      <c r="F301" s="71"/>
      <c r="G301" s="60">
        <v>0.25</v>
      </c>
      <c r="H301" s="68"/>
    </row>
    <row r="302" spans="1:8" x14ac:dyDescent="0.25">
      <c r="A302" s="61"/>
      <c r="B302" s="106" t="s">
        <v>57</v>
      </c>
      <c r="C302" s="73">
        <f t="shared" ref="C302:H302" si="97">SUM(C301:C301)</f>
        <v>0.25</v>
      </c>
      <c r="D302" s="73">
        <f t="shared" si="97"/>
        <v>0</v>
      </c>
      <c r="E302" s="73">
        <f t="shared" si="97"/>
        <v>0</v>
      </c>
      <c r="F302" s="74">
        <f t="shared" si="97"/>
        <v>0</v>
      </c>
      <c r="G302" s="73">
        <f t="shared" si="97"/>
        <v>0.25</v>
      </c>
      <c r="H302" s="75">
        <f t="shared" si="97"/>
        <v>0</v>
      </c>
    </row>
    <row r="303" spans="1:8" x14ac:dyDescent="0.25">
      <c r="A303" s="61"/>
      <c r="B303" s="33" t="s">
        <v>80</v>
      </c>
      <c r="C303" s="58"/>
      <c r="D303" s="58"/>
      <c r="E303" s="58"/>
      <c r="F303" s="59"/>
      <c r="G303" s="60"/>
      <c r="H303" s="61"/>
    </row>
    <row r="304" spans="1:8" x14ac:dyDescent="0.25">
      <c r="A304" s="61">
        <v>1</v>
      </c>
      <c r="B304" s="76" t="s">
        <v>81</v>
      </c>
      <c r="C304" s="68">
        <f>1+0.5-0.5-0.25+0.25</f>
        <v>1</v>
      </c>
      <c r="D304" s="68">
        <f>C304-G304-H304</f>
        <v>0</v>
      </c>
      <c r="E304" s="66">
        <f>D304-F304</f>
        <v>0</v>
      </c>
      <c r="F304" s="71"/>
      <c r="G304" s="102">
        <f>1+0.5-0.5-0.25+0.25</f>
        <v>1</v>
      </c>
      <c r="H304" s="68"/>
    </row>
    <row r="305" spans="1:8" x14ac:dyDescent="0.25">
      <c r="A305" s="61">
        <v>2</v>
      </c>
      <c r="B305" s="125" t="s">
        <v>64</v>
      </c>
      <c r="C305" s="68">
        <v>1</v>
      </c>
      <c r="D305" s="68">
        <f>C305-G305-H305</f>
        <v>0</v>
      </c>
      <c r="E305" s="66">
        <f>D305-F305</f>
        <v>0</v>
      </c>
      <c r="F305" s="71"/>
      <c r="G305" s="102">
        <v>1</v>
      </c>
      <c r="H305" s="68"/>
    </row>
    <row r="306" spans="1:8" x14ac:dyDescent="0.25">
      <c r="A306" s="61"/>
      <c r="B306" s="72" t="s">
        <v>57</v>
      </c>
      <c r="C306" s="73">
        <f t="shared" ref="C306:H306" si="98">SUM(C304:C305)</f>
        <v>2</v>
      </c>
      <c r="D306" s="73">
        <f t="shared" si="98"/>
        <v>0</v>
      </c>
      <c r="E306" s="73">
        <f t="shared" si="98"/>
        <v>0</v>
      </c>
      <c r="F306" s="74">
        <f t="shared" si="98"/>
        <v>0</v>
      </c>
      <c r="G306" s="73">
        <f t="shared" si="98"/>
        <v>2</v>
      </c>
      <c r="H306" s="73">
        <f t="shared" si="98"/>
        <v>0</v>
      </c>
    </row>
    <row r="307" spans="1:8" x14ac:dyDescent="0.25">
      <c r="A307" s="61"/>
      <c r="B307" s="33" t="s">
        <v>82</v>
      </c>
      <c r="C307" s="68"/>
      <c r="D307" s="68"/>
      <c r="E307" s="68"/>
      <c r="F307" s="71"/>
      <c r="G307" s="60"/>
      <c r="H307" s="61"/>
    </row>
    <row r="308" spans="1:8" x14ac:dyDescent="0.25">
      <c r="A308" s="61">
        <v>1</v>
      </c>
      <c r="B308" s="76" t="s">
        <v>83</v>
      </c>
      <c r="C308" s="68">
        <v>1</v>
      </c>
      <c r="D308" s="68">
        <f>C308-G308-H308</f>
        <v>0</v>
      </c>
      <c r="E308" s="66">
        <f>D308-F308</f>
        <v>0</v>
      </c>
      <c r="F308" s="71"/>
      <c r="G308" s="102">
        <v>1</v>
      </c>
      <c r="H308" s="68"/>
    </row>
    <row r="309" spans="1:8" x14ac:dyDescent="0.25">
      <c r="A309" s="61">
        <v>2</v>
      </c>
      <c r="B309" s="126" t="s">
        <v>577</v>
      </c>
      <c r="C309" s="68">
        <v>1</v>
      </c>
      <c r="D309" s="68">
        <f>C309-G309-H309</f>
        <v>0</v>
      </c>
      <c r="E309" s="66">
        <f>D309-F309</f>
        <v>0</v>
      </c>
      <c r="F309" s="71"/>
      <c r="G309" s="102">
        <v>1</v>
      </c>
      <c r="H309" s="68"/>
    </row>
    <row r="310" spans="1:8" x14ac:dyDescent="0.25">
      <c r="A310" s="61">
        <v>3</v>
      </c>
      <c r="B310" s="76" t="s">
        <v>45</v>
      </c>
      <c r="C310" s="68">
        <f>1-0.5</f>
        <v>0.5</v>
      </c>
      <c r="D310" s="68">
        <f>C310-G310-H310</f>
        <v>0</v>
      </c>
      <c r="E310" s="66">
        <f>D310-F310</f>
        <v>0</v>
      </c>
      <c r="F310" s="71"/>
      <c r="G310" s="102">
        <f>1-0.5</f>
        <v>0.5</v>
      </c>
      <c r="H310" s="68"/>
    </row>
    <row r="311" spans="1:8" x14ac:dyDescent="0.25">
      <c r="A311" s="61"/>
      <c r="B311" s="72" t="s">
        <v>54</v>
      </c>
      <c r="C311" s="73">
        <f t="shared" ref="C311:H311" si="99">SUM(C308:C310)</f>
        <v>2.5</v>
      </c>
      <c r="D311" s="73">
        <f t="shared" si="99"/>
        <v>0</v>
      </c>
      <c r="E311" s="73">
        <f t="shared" si="99"/>
        <v>0</v>
      </c>
      <c r="F311" s="74">
        <f t="shared" si="99"/>
        <v>0</v>
      </c>
      <c r="G311" s="73">
        <f t="shared" si="99"/>
        <v>2.5</v>
      </c>
      <c r="H311" s="75">
        <f t="shared" si="99"/>
        <v>0</v>
      </c>
    </row>
    <row r="312" spans="1:8" x14ac:dyDescent="0.25">
      <c r="A312" s="61"/>
      <c r="B312" s="33" t="s">
        <v>137</v>
      </c>
      <c r="C312" s="91"/>
      <c r="D312" s="91"/>
      <c r="E312" s="91"/>
      <c r="F312" s="92"/>
      <c r="G312" s="60"/>
      <c r="H312" s="61"/>
    </row>
    <row r="313" spans="1:8" x14ac:dyDescent="0.25">
      <c r="A313" s="61">
        <v>1</v>
      </c>
      <c r="B313" s="86" t="s">
        <v>138</v>
      </c>
      <c r="C313" s="66">
        <v>1</v>
      </c>
      <c r="D313" s="66">
        <f>C313-G313-H313</f>
        <v>0</v>
      </c>
      <c r="E313" s="66">
        <f>D313-F313</f>
        <v>0</v>
      </c>
      <c r="F313" s="67"/>
      <c r="G313" s="102">
        <v>1</v>
      </c>
      <c r="H313" s="68"/>
    </row>
    <row r="314" spans="1:8" x14ac:dyDescent="0.25">
      <c r="A314" s="61">
        <v>2</v>
      </c>
      <c r="B314" s="76" t="s">
        <v>68</v>
      </c>
      <c r="C314" s="68">
        <f>1+1-0.25</f>
        <v>1.75</v>
      </c>
      <c r="D314" s="68">
        <f>C314-G314-H314</f>
        <v>0</v>
      </c>
      <c r="E314" s="66">
        <f>D314-F314</f>
        <v>0</v>
      </c>
      <c r="F314" s="71"/>
      <c r="G314" s="102">
        <v>1</v>
      </c>
      <c r="H314" s="68">
        <f>1-0.25</f>
        <v>0.75</v>
      </c>
    </row>
    <row r="315" spans="1:8" x14ac:dyDescent="0.25">
      <c r="A315" s="61">
        <v>3</v>
      </c>
      <c r="B315" s="126" t="s">
        <v>64</v>
      </c>
      <c r="C315" s="68">
        <f>2+1-1</f>
        <v>2</v>
      </c>
      <c r="D315" s="68">
        <f>C315-G315-H315</f>
        <v>0</v>
      </c>
      <c r="E315" s="66">
        <f>D315-F315</f>
        <v>0</v>
      </c>
      <c r="F315" s="71"/>
      <c r="G315" s="102">
        <f>2-1</f>
        <v>1</v>
      </c>
      <c r="H315" s="68">
        <f>1</f>
        <v>1</v>
      </c>
    </row>
    <row r="316" spans="1:8" x14ac:dyDescent="0.25">
      <c r="A316" s="61">
        <v>4</v>
      </c>
      <c r="B316" s="126" t="s">
        <v>94</v>
      </c>
      <c r="C316" s="68">
        <v>1</v>
      </c>
      <c r="D316" s="68">
        <f>C316-G316-H316</f>
        <v>0</v>
      </c>
      <c r="E316" s="66">
        <f>D316-F316</f>
        <v>0</v>
      </c>
      <c r="F316" s="71"/>
      <c r="G316" s="102">
        <v>1</v>
      </c>
      <c r="H316" s="68"/>
    </row>
    <row r="317" spans="1:8" x14ac:dyDescent="0.25">
      <c r="A317" s="61">
        <v>5</v>
      </c>
      <c r="B317" s="76" t="s">
        <v>45</v>
      </c>
      <c r="C317" s="68">
        <f>2-0.5-0.5</f>
        <v>1</v>
      </c>
      <c r="D317" s="68">
        <f>C317-G317-H317</f>
        <v>0</v>
      </c>
      <c r="E317" s="66">
        <f>D317-F317</f>
        <v>0</v>
      </c>
      <c r="F317" s="71"/>
      <c r="G317" s="102">
        <f>2-0.5-0.5</f>
        <v>1</v>
      </c>
      <c r="H317" s="68"/>
    </row>
    <row r="318" spans="1:8" x14ac:dyDescent="0.25">
      <c r="A318" s="61"/>
      <c r="B318" s="106" t="s">
        <v>20</v>
      </c>
      <c r="C318" s="73">
        <f t="shared" ref="C318:H318" si="100">SUM(C313:C317)</f>
        <v>6.75</v>
      </c>
      <c r="D318" s="73">
        <f t="shared" si="100"/>
        <v>0</v>
      </c>
      <c r="E318" s="73">
        <f t="shared" si="100"/>
        <v>0</v>
      </c>
      <c r="F318" s="74">
        <f t="shared" si="100"/>
        <v>0</v>
      </c>
      <c r="G318" s="73">
        <f t="shared" si="100"/>
        <v>5</v>
      </c>
      <c r="H318" s="75">
        <f t="shared" si="100"/>
        <v>1.75</v>
      </c>
    </row>
    <row r="319" spans="1:8" x14ac:dyDescent="0.25">
      <c r="A319" s="61"/>
      <c r="B319" s="166" t="s">
        <v>139</v>
      </c>
      <c r="C319" s="73"/>
      <c r="D319" s="73"/>
      <c r="E319" s="73"/>
      <c r="F319" s="74"/>
      <c r="G319" s="60"/>
      <c r="H319" s="61"/>
    </row>
    <row r="320" spans="1:8" x14ac:dyDescent="0.25">
      <c r="A320" s="61">
        <v>5</v>
      </c>
      <c r="B320" s="76" t="s">
        <v>68</v>
      </c>
      <c r="C320" s="167">
        <f>1+0.25</f>
        <v>1.25</v>
      </c>
      <c r="D320" s="167">
        <f>C320-G320-H320</f>
        <v>0</v>
      </c>
      <c r="E320" s="66">
        <f>D320-F320</f>
        <v>0</v>
      </c>
      <c r="F320" s="168"/>
      <c r="G320" s="102"/>
      <c r="H320" s="68">
        <f>1+0.25</f>
        <v>1.25</v>
      </c>
    </row>
    <row r="321" spans="1:9" x14ac:dyDescent="0.25">
      <c r="A321" s="61">
        <v>6</v>
      </c>
      <c r="B321" s="126" t="s">
        <v>64</v>
      </c>
      <c r="C321" s="167">
        <f>1-1</f>
        <v>0</v>
      </c>
      <c r="D321" s="167">
        <f>C321-G321-H321</f>
        <v>0</v>
      </c>
      <c r="E321" s="66">
        <f>D321-F321</f>
        <v>0</v>
      </c>
      <c r="F321" s="168"/>
      <c r="G321" s="102"/>
      <c r="H321" s="68">
        <f>1-1</f>
        <v>0</v>
      </c>
    </row>
    <row r="322" spans="1:9" x14ac:dyDescent="0.25">
      <c r="A322" s="61"/>
      <c r="B322" s="106" t="s">
        <v>20</v>
      </c>
      <c r="C322" s="73">
        <f t="shared" ref="C322:H322" si="101">SUM(C320:C321)</f>
        <v>1.25</v>
      </c>
      <c r="D322" s="73">
        <f t="shared" si="101"/>
        <v>0</v>
      </c>
      <c r="E322" s="73">
        <f t="shared" si="101"/>
        <v>0</v>
      </c>
      <c r="F322" s="74">
        <f t="shared" si="101"/>
        <v>0</v>
      </c>
      <c r="G322" s="73">
        <f t="shared" si="101"/>
        <v>0</v>
      </c>
      <c r="H322" s="75">
        <f t="shared" si="101"/>
        <v>1.25</v>
      </c>
    </row>
    <row r="323" spans="1:9" x14ac:dyDescent="0.25">
      <c r="A323" s="61"/>
      <c r="B323" s="106" t="s">
        <v>140</v>
      </c>
      <c r="C323" s="73">
        <f t="shared" ref="C323:H323" si="102">C318+C322</f>
        <v>8</v>
      </c>
      <c r="D323" s="73">
        <f t="shared" si="102"/>
        <v>0</v>
      </c>
      <c r="E323" s="73">
        <f t="shared" si="102"/>
        <v>0</v>
      </c>
      <c r="F323" s="74">
        <f t="shared" si="102"/>
        <v>0</v>
      </c>
      <c r="G323" s="73">
        <f t="shared" si="102"/>
        <v>5</v>
      </c>
      <c r="H323" s="75">
        <f t="shared" si="102"/>
        <v>3</v>
      </c>
      <c r="I323" s="3"/>
    </row>
    <row r="324" spans="1:9" x14ac:dyDescent="0.25">
      <c r="A324" s="61"/>
      <c r="B324" s="33" t="s">
        <v>84</v>
      </c>
      <c r="C324" s="68"/>
      <c r="D324" s="68"/>
      <c r="E324" s="68"/>
      <c r="F324" s="71"/>
      <c r="G324" s="60"/>
      <c r="H324" s="61"/>
    </row>
    <row r="325" spans="1:9" x14ac:dyDescent="0.25">
      <c r="A325" s="61">
        <v>1</v>
      </c>
      <c r="B325" s="76" t="s">
        <v>85</v>
      </c>
      <c r="C325" s="68">
        <v>1</v>
      </c>
      <c r="D325" s="68">
        <f>C325-G325-H325</f>
        <v>0</v>
      </c>
      <c r="E325" s="66">
        <f>D325-F325</f>
        <v>0</v>
      </c>
      <c r="F325" s="71"/>
      <c r="G325" s="102">
        <v>1</v>
      </c>
      <c r="H325" s="68"/>
    </row>
    <row r="326" spans="1:9" x14ac:dyDescent="0.25">
      <c r="A326" s="61">
        <v>2</v>
      </c>
      <c r="B326" s="76" t="s">
        <v>141</v>
      </c>
      <c r="C326" s="68">
        <v>1</v>
      </c>
      <c r="D326" s="68">
        <f>C326-G326-H326</f>
        <v>0</v>
      </c>
      <c r="E326" s="66">
        <f>D326-F326</f>
        <v>0</v>
      </c>
      <c r="F326" s="71"/>
      <c r="G326" s="102">
        <v>1</v>
      </c>
      <c r="H326" s="68"/>
    </row>
    <row r="327" spans="1:9" x14ac:dyDescent="0.25">
      <c r="A327" s="61">
        <v>3</v>
      </c>
      <c r="B327" s="76" t="s">
        <v>45</v>
      </c>
      <c r="C327" s="68">
        <f>1-0.5</f>
        <v>0.5</v>
      </c>
      <c r="D327" s="68">
        <f>C327-G327-H327</f>
        <v>0</v>
      </c>
      <c r="E327" s="66">
        <f>D327-F327</f>
        <v>0</v>
      </c>
      <c r="F327" s="71"/>
      <c r="G327" s="102">
        <f>1-0.5</f>
        <v>0.5</v>
      </c>
      <c r="H327" s="68"/>
    </row>
    <row r="328" spans="1:9" x14ac:dyDescent="0.25">
      <c r="A328" s="61"/>
      <c r="B328" s="72" t="s">
        <v>57</v>
      </c>
      <c r="C328" s="73">
        <f t="shared" ref="C328:H328" si="103">SUM(C325:C327)</f>
        <v>2.5</v>
      </c>
      <c r="D328" s="73">
        <f t="shared" si="103"/>
        <v>0</v>
      </c>
      <c r="E328" s="73">
        <f t="shared" si="103"/>
        <v>0</v>
      </c>
      <c r="F328" s="74">
        <f t="shared" si="103"/>
        <v>0</v>
      </c>
      <c r="G328" s="73">
        <f t="shared" si="103"/>
        <v>2.5</v>
      </c>
      <c r="H328" s="75">
        <f t="shared" si="103"/>
        <v>0</v>
      </c>
    </row>
    <row r="329" spans="1:9" x14ac:dyDescent="0.25">
      <c r="A329" s="61"/>
      <c r="B329" s="33" t="s">
        <v>87</v>
      </c>
      <c r="C329" s="68"/>
      <c r="D329" s="68"/>
      <c r="E329" s="68"/>
      <c r="F329" s="71"/>
      <c r="G329" s="60"/>
      <c r="H329" s="61"/>
    </row>
    <row r="330" spans="1:9" x14ac:dyDescent="0.25">
      <c r="A330" s="61">
        <v>1</v>
      </c>
      <c r="B330" s="76" t="s">
        <v>88</v>
      </c>
      <c r="C330" s="68">
        <f>1-0.5-0.25</f>
        <v>0.25</v>
      </c>
      <c r="D330" s="68">
        <f>C330-G330-H330</f>
        <v>0</v>
      </c>
      <c r="E330" s="66">
        <f>D330-F330</f>
        <v>0</v>
      </c>
      <c r="F330" s="71"/>
      <c r="G330" s="102">
        <f>1-0.5-0.25</f>
        <v>0.25</v>
      </c>
      <c r="H330" s="68"/>
    </row>
    <row r="331" spans="1:9" x14ac:dyDescent="0.25">
      <c r="A331" s="61">
        <v>2</v>
      </c>
      <c r="B331" s="76" t="s">
        <v>142</v>
      </c>
      <c r="C331" s="68">
        <v>0.5</v>
      </c>
      <c r="D331" s="68"/>
      <c r="E331" s="66">
        <f>D331-F331</f>
        <v>0</v>
      </c>
      <c r="F331" s="71"/>
      <c r="G331" s="102"/>
      <c r="H331" s="68">
        <v>0.5</v>
      </c>
    </row>
    <row r="332" spans="1:9" x14ac:dyDescent="0.25">
      <c r="A332" s="61">
        <v>3</v>
      </c>
      <c r="B332" s="126" t="s">
        <v>64</v>
      </c>
      <c r="C332" s="68">
        <v>0.5</v>
      </c>
      <c r="D332" s="68"/>
      <c r="E332" s="66">
        <f>D332-F332</f>
        <v>0</v>
      </c>
      <c r="F332" s="71"/>
      <c r="G332" s="102"/>
      <c r="H332" s="68">
        <v>0.5</v>
      </c>
    </row>
    <row r="333" spans="1:9" x14ac:dyDescent="0.25">
      <c r="A333" s="61"/>
      <c r="B333" s="72" t="s">
        <v>57</v>
      </c>
      <c r="C333" s="73">
        <f t="shared" ref="C333:H333" si="104">SUM(C330:C332)</f>
        <v>1.25</v>
      </c>
      <c r="D333" s="73">
        <f t="shared" si="104"/>
        <v>0</v>
      </c>
      <c r="E333" s="73">
        <f t="shared" si="104"/>
        <v>0</v>
      </c>
      <c r="F333" s="74">
        <f t="shared" si="104"/>
        <v>0</v>
      </c>
      <c r="G333" s="73">
        <f t="shared" si="104"/>
        <v>0.25</v>
      </c>
      <c r="H333" s="73">
        <f t="shared" si="104"/>
        <v>1</v>
      </c>
    </row>
    <row r="334" spans="1:9" x14ac:dyDescent="0.25">
      <c r="A334" s="61"/>
      <c r="B334" s="72"/>
      <c r="C334" s="73"/>
      <c r="D334" s="73"/>
      <c r="E334" s="73"/>
      <c r="F334" s="74"/>
      <c r="G334" s="73"/>
      <c r="H334" s="73"/>
    </row>
    <row r="335" spans="1:9" x14ac:dyDescent="0.25">
      <c r="A335" s="61"/>
      <c r="B335" s="33" t="s">
        <v>58</v>
      </c>
      <c r="C335" s="73"/>
      <c r="D335" s="73"/>
      <c r="E335" s="73"/>
      <c r="F335" s="74"/>
      <c r="G335" s="60"/>
      <c r="H335" s="61"/>
    </row>
    <row r="336" spans="1:9" x14ac:dyDescent="0.25">
      <c r="A336" s="61">
        <v>1</v>
      </c>
      <c r="B336" s="76" t="s">
        <v>59</v>
      </c>
      <c r="C336" s="66">
        <v>0.25</v>
      </c>
      <c r="D336" s="66">
        <f>C336-G336-H336</f>
        <v>0</v>
      </c>
      <c r="E336" s="66">
        <f>D336-F336</f>
        <v>0</v>
      </c>
      <c r="F336" s="67"/>
      <c r="G336" s="60">
        <v>0.25</v>
      </c>
      <c r="H336" s="68"/>
    </row>
    <row r="337" spans="1:9" x14ac:dyDescent="0.25">
      <c r="A337" s="61"/>
      <c r="B337" s="72" t="s">
        <v>57</v>
      </c>
      <c r="C337" s="73">
        <f t="shared" ref="C337:H337" si="105">C336</f>
        <v>0.25</v>
      </c>
      <c r="D337" s="73">
        <f t="shared" si="105"/>
        <v>0</v>
      </c>
      <c r="E337" s="73">
        <f t="shared" si="105"/>
        <v>0</v>
      </c>
      <c r="F337" s="74">
        <f t="shared" si="105"/>
        <v>0</v>
      </c>
      <c r="G337" s="73">
        <f t="shared" si="105"/>
        <v>0.25</v>
      </c>
      <c r="H337" s="75">
        <f t="shared" si="105"/>
        <v>0</v>
      </c>
    </row>
    <row r="338" spans="1:9" x14ac:dyDescent="0.25">
      <c r="A338" s="61"/>
      <c r="B338" s="166" t="s">
        <v>144</v>
      </c>
      <c r="C338" s="60"/>
      <c r="D338" s="60"/>
      <c r="E338" s="60"/>
      <c r="F338" s="119"/>
      <c r="G338" s="60"/>
      <c r="H338" s="61"/>
    </row>
    <row r="339" spans="1:9" x14ac:dyDescent="0.25">
      <c r="A339" s="61">
        <v>1</v>
      </c>
      <c r="B339" s="60" t="s">
        <v>145</v>
      </c>
      <c r="C339" s="61">
        <v>0.25</v>
      </c>
      <c r="D339" s="61">
        <f>C339-G339-H339</f>
        <v>0</v>
      </c>
      <c r="E339" s="66">
        <f>D339-F339</f>
        <v>0</v>
      </c>
      <c r="F339" s="169"/>
      <c r="G339" s="60"/>
      <c r="H339" s="61">
        <v>0.25</v>
      </c>
    </row>
    <row r="340" spans="1:9" x14ac:dyDescent="0.25">
      <c r="A340" s="61"/>
      <c r="B340" s="72" t="s">
        <v>57</v>
      </c>
      <c r="C340" s="73">
        <f t="shared" ref="C340:H340" si="106">C339</f>
        <v>0.25</v>
      </c>
      <c r="D340" s="73">
        <f t="shared" si="106"/>
        <v>0</v>
      </c>
      <c r="E340" s="73">
        <f t="shared" si="106"/>
        <v>0</v>
      </c>
      <c r="F340" s="74">
        <f t="shared" si="106"/>
        <v>0</v>
      </c>
      <c r="G340" s="73">
        <f t="shared" si="106"/>
        <v>0</v>
      </c>
      <c r="H340" s="75">
        <f t="shared" si="106"/>
        <v>0.25</v>
      </c>
    </row>
    <row r="341" spans="1:9" x14ac:dyDescent="0.25">
      <c r="A341" s="61"/>
      <c r="B341" s="166" t="s">
        <v>146</v>
      </c>
      <c r="C341" s="60"/>
      <c r="D341" s="60"/>
      <c r="E341" s="60"/>
      <c r="F341" s="119"/>
      <c r="G341" s="60"/>
      <c r="H341" s="61"/>
    </row>
    <row r="342" spans="1:9" x14ac:dyDescent="0.25">
      <c r="A342" s="61">
        <v>1</v>
      </c>
      <c r="B342" s="60" t="s">
        <v>147</v>
      </c>
      <c r="C342" s="61">
        <v>0.25</v>
      </c>
      <c r="D342" s="61">
        <f>C342-G342-H342</f>
        <v>0</v>
      </c>
      <c r="E342" s="66">
        <f>D342-F342</f>
        <v>0</v>
      </c>
      <c r="F342" s="169"/>
      <c r="G342" s="60"/>
      <c r="H342" s="61">
        <v>0.25</v>
      </c>
    </row>
    <row r="343" spans="1:9" x14ac:dyDescent="0.25">
      <c r="A343" s="61"/>
      <c r="B343" s="72" t="s">
        <v>57</v>
      </c>
      <c r="C343" s="73">
        <f t="shared" ref="C343:H343" si="107">C342</f>
        <v>0.25</v>
      </c>
      <c r="D343" s="73">
        <f t="shared" si="107"/>
        <v>0</v>
      </c>
      <c r="E343" s="73">
        <f t="shared" si="107"/>
        <v>0</v>
      </c>
      <c r="F343" s="74">
        <f t="shared" si="107"/>
        <v>0</v>
      </c>
      <c r="G343" s="73">
        <f t="shared" si="107"/>
        <v>0</v>
      </c>
      <c r="H343" s="75">
        <f t="shared" si="107"/>
        <v>0.25</v>
      </c>
    </row>
    <row r="344" spans="1:9" x14ac:dyDescent="0.25">
      <c r="A344" s="61"/>
      <c r="B344" s="166" t="s">
        <v>65</v>
      </c>
      <c r="C344" s="73"/>
      <c r="D344" s="73"/>
      <c r="E344" s="73"/>
      <c r="F344" s="74"/>
      <c r="G344" s="73"/>
      <c r="H344" s="75"/>
    </row>
    <row r="345" spans="1:9" x14ac:dyDescent="0.25">
      <c r="A345" s="61">
        <v>1</v>
      </c>
      <c r="B345" s="76" t="s">
        <v>66</v>
      </c>
      <c r="C345" s="68">
        <f>1+0.5-0.5-0.25+0.25</f>
        <v>1</v>
      </c>
      <c r="D345" s="68">
        <f>C345-G345-H345</f>
        <v>0</v>
      </c>
      <c r="E345" s="66">
        <f>D345-F345</f>
        <v>0</v>
      </c>
      <c r="F345" s="71"/>
      <c r="G345" s="102"/>
      <c r="H345" s="68">
        <v>1</v>
      </c>
    </row>
    <row r="346" spans="1:9" x14ac:dyDescent="0.25">
      <c r="A346" s="61">
        <v>2</v>
      </c>
      <c r="B346" s="125" t="s">
        <v>64</v>
      </c>
      <c r="C346" s="68">
        <v>1</v>
      </c>
      <c r="D346" s="68">
        <f>C346-G346-H346</f>
        <v>0</v>
      </c>
      <c r="E346" s="66">
        <f>D346-F346</f>
        <v>0</v>
      </c>
      <c r="F346" s="71"/>
      <c r="G346" s="102"/>
      <c r="H346" s="68">
        <v>1</v>
      </c>
    </row>
    <row r="347" spans="1:9" x14ac:dyDescent="0.25">
      <c r="A347" s="61"/>
      <c r="B347" s="72" t="s">
        <v>57</v>
      </c>
      <c r="C347" s="73">
        <f t="shared" ref="C347:H347" si="108">SUM(C345:C346)</f>
        <v>2</v>
      </c>
      <c r="D347" s="73">
        <f t="shared" si="108"/>
        <v>0</v>
      </c>
      <c r="E347" s="73">
        <f t="shared" si="108"/>
        <v>0</v>
      </c>
      <c r="F347" s="74">
        <f t="shared" si="108"/>
        <v>0</v>
      </c>
      <c r="G347" s="73">
        <f t="shared" si="108"/>
        <v>0</v>
      </c>
      <c r="H347" s="73">
        <f t="shared" si="108"/>
        <v>2</v>
      </c>
    </row>
    <row r="348" spans="1:9" ht="19.149999999999999" customHeight="1" x14ac:dyDescent="0.25">
      <c r="A348" s="61"/>
      <c r="B348" s="129" t="s">
        <v>71</v>
      </c>
      <c r="C348" s="121">
        <f t="shared" ref="C348:H348" si="109">C285+C291+C295+C299+C302+C306+C311+C323+C328+C333+C337+C340+C343+C347</f>
        <v>36.25</v>
      </c>
      <c r="D348" s="121">
        <f t="shared" si="109"/>
        <v>0</v>
      </c>
      <c r="E348" s="121">
        <f t="shared" si="109"/>
        <v>0</v>
      </c>
      <c r="F348" s="122">
        <f t="shared" si="109"/>
        <v>0</v>
      </c>
      <c r="G348" s="121">
        <f t="shared" si="109"/>
        <v>26.75</v>
      </c>
      <c r="H348" s="121">
        <f t="shared" si="109"/>
        <v>9.5</v>
      </c>
      <c r="I348" s="3">
        <f>SUM(E348:H348)</f>
        <v>36.25</v>
      </c>
    </row>
    <row r="349" spans="1:9" x14ac:dyDescent="0.25">
      <c r="A349" s="61"/>
      <c r="B349" s="130"/>
      <c r="C349" s="131">
        <f t="shared" ref="C349:H349" si="110">SUM(C350:C353)-C351</f>
        <v>36.25</v>
      </c>
      <c r="D349" s="131">
        <f t="shared" si="110"/>
        <v>0</v>
      </c>
      <c r="E349" s="131">
        <f t="shared" si="110"/>
        <v>0</v>
      </c>
      <c r="F349" s="132">
        <f t="shared" si="110"/>
        <v>0</v>
      </c>
      <c r="G349" s="131">
        <f t="shared" si="110"/>
        <v>26.75</v>
      </c>
      <c r="H349" s="131">
        <f t="shared" si="110"/>
        <v>9.5</v>
      </c>
    </row>
    <row r="350" spans="1:9" x14ac:dyDescent="0.25">
      <c r="A350" s="61"/>
      <c r="B350" s="133" t="s">
        <v>110</v>
      </c>
      <c r="C350" s="121">
        <f t="shared" ref="C350:H350" si="111">C287+C293+C297+C301+C304+C308+C314+C325+C330+C336+C339+C342+C313+C320+C331+C345</f>
        <v>17.75</v>
      </c>
      <c r="D350" s="121">
        <f t="shared" si="111"/>
        <v>0</v>
      </c>
      <c r="E350" s="121">
        <f t="shared" si="111"/>
        <v>0</v>
      </c>
      <c r="F350" s="122">
        <f t="shared" si="111"/>
        <v>0</v>
      </c>
      <c r="G350" s="121">
        <f t="shared" si="111"/>
        <v>11.75</v>
      </c>
      <c r="H350" s="121">
        <f t="shared" si="111"/>
        <v>6</v>
      </c>
    </row>
    <row r="351" spans="1:9" x14ac:dyDescent="0.25">
      <c r="A351" s="61"/>
      <c r="B351" s="170" t="s">
        <v>111</v>
      </c>
      <c r="C351" s="171">
        <f t="shared" ref="C351:H351" si="112">C293+C297+C301+C304+C308+C314+C325+C330+C336+C339+C342+C345</f>
        <v>12.5</v>
      </c>
      <c r="D351" s="171">
        <f t="shared" si="112"/>
        <v>0</v>
      </c>
      <c r="E351" s="171">
        <f t="shared" si="112"/>
        <v>0</v>
      </c>
      <c r="F351" s="172">
        <f t="shared" si="112"/>
        <v>0</v>
      </c>
      <c r="G351" s="171">
        <f t="shared" si="112"/>
        <v>9.75</v>
      </c>
      <c r="H351" s="171">
        <f t="shared" si="112"/>
        <v>2.75</v>
      </c>
    </row>
    <row r="352" spans="1:9" x14ac:dyDescent="0.25">
      <c r="A352" s="61"/>
      <c r="B352" s="133" t="s">
        <v>112</v>
      </c>
      <c r="C352" s="121">
        <f t="shared" ref="C352:H352" si="113">C288+C290+C294+C298+C305+C309+C315+C316+C326+C321+C346+C332</f>
        <v>16.5</v>
      </c>
      <c r="D352" s="121">
        <f t="shared" si="113"/>
        <v>0</v>
      </c>
      <c r="E352" s="121">
        <f t="shared" si="113"/>
        <v>0</v>
      </c>
      <c r="F352" s="122">
        <f t="shared" si="113"/>
        <v>0</v>
      </c>
      <c r="G352" s="121">
        <f t="shared" si="113"/>
        <v>13</v>
      </c>
      <c r="H352" s="121">
        <f t="shared" si="113"/>
        <v>3.5</v>
      </c>
    </row>
    <row r="353" spans="1:8" x14ac:dyDescent="0.25">
      <c r="A353" s="61"/>
      <c r="B353" s="133" t="s">
        <v>113</v>
      </c>
      <c r="C353" s="121">
        <f t="shared" ref="C353:H353" si="114">C327+C317+C310</f>
        <v>2</v>
      </c>
      <c r="D353" s="121">
        <f t="shared" si="114"/>
        <v>0</v>
      </c>
      <c r="E353" s="121">
        <f t="shared" si="114"/>
        <v>0</v>
      </c>
      <c r="F353" s="122">
        <f t="shared" si="114"/>
        <v>0</v>
      </c>
      <c r="G353" s="121">
        <f t="shared" si="114"/>
        <v>2</v>
      </c>
      <c r="H353" s="121">
        <f t="shared" si="114"/>
        <v>0</v>
      </c>
    </row>
    <row r="354" spans="1:8" x14ac:dyDescent="0.25">
      <c r="A354" s="61"/>
      <c r="B354" s="173" t="s">
        <v>148</v>
      </c>
      <c r="C354" s="60"/>
      <c r="D354" s="60"/>
      <c r="E354" s="60"/>
      <c r="F354" s="119"/>
      <c r="G354" s="60"/>
      <c r="H354" s="61"/>
    </row>
    <row r="355" spans="1:8" x14ac:dyDescent="0.25">
      <c r="A355" s="61">
        <v>1</v>
      </c>
      <c r="B355" s="86" t="s">
        <v>149</v>
      </c>
      <c r="C355" s="66">
        <v>1</v>
      </c>
      <c r="D355" s="66">
        <f t="shared" ref="D355:D362" si="115">C355-G355-H355</f>
        <v>0.75</v>
      </c>
      <c r="E355" s="66">
        <f t="shared" ref="E355:E362" si="116">D355-F355</f>
        <v>0.75</v>
      </c>
      <c r="F355" s="67"/>
      <c r="G355" s="60">
        <v>0.25</v>
      </c>
      <c r="H355" s="68"/>
    </row>
    <row r="356" spans="1:8" x14ac:dyDescent="0.25">
      <c r="A356" s="61">
        <v>2</v>
      </c>
      <c r="B356" s="86" t="s">
        <v>75</v>
      </c>
      <c r="C356" s="68">
        <v>0.5</v>
      </c>
      <c r="D356" s="68">
        <f t="shared" si="115"/>
        <v>0.5</v>
      </c>
      <c r="E356" s="66">
        <f t="shared" si="116"/>
        <v>0.5</v>
      </c>
      <c r="F356" s="71"/>
      <c r="G356" s="60"/>
      <c r="H356" s="68"/>
    </row>
    <row r="357" spans="1:8" x14ac:dyDescent="0.25">
      <c r="A357" s="61">
        <v>3</v>
      </c>
      <c r="B357" s="86" t="s">
        <v>76</v>
      </c>
      <c r="C357" s="68">
        <v>0.5</v>
      </c>
      <c r="D357" s="68">
        <f t="shared" si="115"/>
        <v>0.5</v>
      </c>
      <c r="E357" s="66">
        <f t="shared" si="116"/>
        <v>0.5</v>
      </c>
      <c r="F357" s="71"/>
      <c r="G357" s="60"/>
      <c r="H357" s="68"/>
    </row>
    <row r="358" spans="1:8" x14ac:dyDescent="0.25">
      <c r="A358" s="61">
        <v>4</v>
      </c>
      <c r="B358" s="76" t="s">
        <v>32</v>
      </c>
      <c r="C358" s="66">
        <v>1</v>
      </c>
      <c r="D358" s="66">
        <f t="shared" si="115"/>
        <v>0.5</v>
      </c>
      <c r="E358" s="66">
        <f t="shared" si="116"/>
        <v>0.5</v>
      </c>
      <c r="F358" s="67"/>
      <c r="G358" s="102">
        <v>0.5</v>
      </c>
      <c r="H358" s="68"/>
    </row>
    <row r="359" spans="1:8" x14ac:dyDescent="0.25">
      <c r="A359" s="61">
        <v>5</v>
      </c>
      <c r="B359" s="76" t="s">
        <v>81</v>
      </c>
      <c r="C359" s="68">
        <v>1</v>
      </c>
      <c r="D359" s="68">
        <f t="shared" si="115"/>
        <v>0.5</v>
      </c>
      <c r="E359" s="66">
        <f t="shared" si="116"/>
        <v>0.5</v>
      </c>
      <c r="F359" s="71"/>
      <c r="G359" s="102">
        <v>0.5</v>
      </c>
      <c r="H359" s="68"/>
    </row>
    <row r="360" spans="1:8" x14ac:dyDescent="0.25">
      <c r="A360" s="61">
        <v>6</v>
      </c>
      <c r="B360" s="76" t="s">
        <v>83</v>
      </c>
      <c r="C360" s="68">
        <v>1</v>
      </c>
      <c r="D360" s="68">
        <f t="shared" si="115"/>
        <v>0.5</v>
      </c>
      <c r="E360" s="66">
        <f t="shared" si="116"/>
        <v>0.5</v>
      </c>
      <c r="F360" s="71"/>
      <c r="G360" s="102">
        <f>0.25+0.25</f>
        <v>0.5</v>
      </c>
      <c r="H360" s="68"/>
    </row>
    <row r="361" spans="1:8" x14ac:dyDescent="0.25">
      <c r="A361" s="61">
        <v>7</v>
      </c>
      <c r="B361" s="76" t="s">
        <v>85</v>
      </c>
      <c r="C361" s="68">
        <v>1</v>
      </c>
      <c r="D361" s="68">
        <f t="shared" si="115"/>
        <v>0.5</v>
      </c>
      <c r="E361" s="66">
        <f t="shared" si="116"/>
        <v>0.5</v>
      </c>
      <c r="F361" s="71"/>
      <c r="G361" s="102">
        <v>0.5</v>
      </c>
      <c r="H361" s="68"/>
    </row>
    <row r="362" spans="1:8" x14ac:dyDescent="0.25">
      <c r="A362" s="61">
        <v>8</v>
      </c>
      <c r="B362" s="76" t="s">
        <v>88</v>
      </c>
      <c r="C362" s="68">
        <v>1</v>
      </c>
      <c r="D362" s="68">
        <f t="shared" si="115"/>
        <v>0.75</v>
      </c>
      <c r="E362" s="66">
        <f t="shared" si="116"/>
        <v>0.75</v>
      </c>
      <c r="F362" s="71"/>
      <c r="G362" s="60">
        <v>0.25</v>
      </c>
      <c r="H362" s="68"/>
    </row>
    <row r="363" spans="1:8" x14ac:dyDescent="0.25">
      <c r="A363" s="61"/>
      <c r="B363" s="174" t="s">
        <v>289</v>
      </c>
      <c r="C363" s="121">
        <f t="shared" ref="C363:H363" si="117">SUM(C355:C362)</f>
        <v>7</v>
      </c>
      <c r="D363" s="121">
        <f t="shared" si="117"/>
        <v>4.5</v>
      </c>
      <c r="E363" s="121">
        <f t="shared" si="117"/>
        <v>4.5</v>
      </c>
      <c r="F363" s="122">
        <f t="shared" si="117"/>
        <v>0</v>
      </c>
      <c r="G363" s="121">
        <f t="shared" si="117"/>
        <v>2.5</v>
      </c>
      <c r="H363" s="121">
        <f t="shared" si="117"/>
        <v>0</v>
      </c>
    </row>
    <row r="364" spans="1:8" x14ac:dyDescent="0.25">
      <c r="A364" s="61">
        <v>9</v>
      </c>
      <c r="B364" s="86" t="s">
        <v>53</v>
      </c>
      <c r="C364" s="66">
        <v>1</v>
      </c>
      <c r="D364" s="66">
        <f>C364-G364-H364</f>
        <v>0.5</v>
      </c>
      <c r="E364" s="66">
        <f>D364-F364</f>
        <v>0.5</v>
      </c>
      <c r="F364" s="67"/>
      <c r="G364" s="102">
        <v>0.5</v>
      </c>
      <c r="H364" s="68"/>
    </row>
    <row r="365" spans="1:8" x14ac:dyDescent="0.25">
      <c r="A365" s="61">
        <v>10</v>
      </c>
      <c r="B365" s="60" t="s">
        <v>64</v>
      </c>
      <c r="C365" s="68">
        <f>2+1+1+4</f>
        <v>8</v>
      </c>
      <c r="D365" s="68">
        <f>C365-G365-H365</f>
        <v>4</v>
      </c>
      <c r="E365" s="66">
        <f>D365-F365</f>
        <v>4</v>
      </c>
      <c r="F365" s="71"/>
      <c r="G365" s="102">
        <f>0.5+3.5</f>
        <v>4</v>
      </c>
      <c r="H365" s="68"/>
    </row>
    <row r="366" spans="1:8" x14ac:dyDescent="0.25">
      <c r="A366" s="61">
        <v>11</v>
      </c>
      <c r="B366" s="76" t="s">
        <v>141</v>
      </c>
      <c r="C366" s="68">
        <v>1</v>
      </c>
      <c r="D366" s="68">
        <f>C366-G366-H366</f>
        <v>0.5</v>
      </c>
      <c r="E366" s="66">
        <f>D366-F366</f>
        <v>0.5</v>
      </c>
      <c r="F366" s="71"/>
      <c r="G366" s="102">
        <f>0.25+0.25</f>
        <v>0.5</v>
      </c>
      <c r="H366" s="68"/>
    </row>
    <row r="367" spans="1:8" x14ac:dyDescent="0.25">
      <c r="A367" s="61"/>
      <c r="B367" s="175" t="s">
        <v>500</v>
      </c>
      <c r="C367" s="128">
        <f t="shared" ref="C367:H367" si="118">SUM(C364:C366)</f>
        <v>10</v>
      </c>
      <c r="D367" s="128">
        <f t="shared" si="118"/>
        <v>5</v>
      </c>
      <c r="E367" s="128">
        <f t="shared" si="118"/>
        <v>5</v>
      </c>
      <c r="F367" s="176">
        <f t="shared" si="118"/>
        <v>0</v>
      </c>
      <c r="G367" s="128">
        <f t="shared" si="118"/>
        <v>5</v>
      </c>
      <c r="H367" s="128">
        <f t="shared" si="118"/>
        <v>0</v>
      </c>
    </row>
    <row r="368" spans="1:8" ht="29.25" x14ac:dyDescent="0.25">
      <c r="A368" s="61"/>
      <c r="B368" s="177" t="s">
        <v>150</v>
      </c>
      <c r="C368" s="178">
        <f t="shared" ref="C368:H368" si="119">C367+C363</f>
        <v>17</v>
      </c>
      <c r="D368" s="178">
        <f t="shared" si="119"/>
        <v>9.5</v>
      </c>
      <c r="E368" s="178">
        <f t="shared" si="119"/>
        <v>9.5</v>
      </c>
      <c r="F368" s="179">
        <f t="shared" si="119"/>
        <v>0</v>
      </c>
      <c r="G368" s="178">
        <f t="shared" si="119"/>
        <v>7.5</v>
      </c>
      <c r="H368" s="178">
        <f t="shared" si="119"/>
        <v>0</v>
      </c>
    </row>
    <row r="369" spans="1:8" x14ac:dyDescent="0.25">
      <c r="A369" s="61"/>
      <c r="B369" s="180" t="s">
        <v>131</v>
      </c>
      <c r="C369" s="181">
        <f t="shared" ref="C369:H369" si="120">SUM(C370:C371)</f>
        <v>17</v>
      </c>
      <c r="D369" s="181">
        <f t="shared" si="120"/>
        <v>9.5</v>
      </c>
      <c r="E369" s="181">
        <f t="shared" si="120"/>
        <v>9.5</v>
      </c>
      <c r="F369" s="182">
        <f t="shared" si="120"/>
        <v>0</v>
      </c>
      <c r="G369" s="181">
        <f t="shared" si="120"/>
        <v>7.5</v>
      </c>
      <c r="H369" s="181">
        <f t="shared" si="120"/>
        <v>0</v>
      </c>
    </row>
    <row r="370" spans="1:8" x14ac:dyDescent="0.25">
      <c r="A370" s="61"/>
      <c r="B370" s="183" t="s">
        <v>110</v>
      </c>
      <c r="C370" s="184">
        <f t="shared" ref="C370:H370" si="121">C363</f>
        <v>7</v>
      </c>
      <c r="D370" s="184">
        <f t="shared" si="121"/>
        <v>4.5</v>
      </c>
      <c r="E370" s="184">
        <f t="shared" si="121"/>
        <v>4.5</v>
      </c>
      <c r="F370" s="185">
        <f t="shared" si="121"/>
        <v>0</v>
      </c>
      <c r="G370" s="184">
        <f t="shared" si="121"/>
        <v>2.5</v>
      </c>
      <c r="H370" s="184">
        <f t="shared" si="121"/>
        <v>0</v>
      </c>
    </row>
    <row r="371" spans="1:8" x14ac:dyDescent="0.25">
      <c r="A371" s="61"/>
      <c r="B371" s="183" t="s">
        <v>112</v>
      </c>
      <c r="C371" s="184">
        <f t="shared" ref="C371:H371" si="122">C367</f>
        <v>10</v>
      </c>
      <c r="D371" s="184">
        <f t="shared" si="122"/>
        <v>5</v>
      </c>
      <c r="E371" s="184">
        <f t="shared" si="122"/>
        <v>5</v>
      </c>
      <c r="F371" s="185">
        <f t="shared" si="122"/>
        <v>0</v>
      </c>
      <c r="G371" s="184">
        <f t="shared" si="122"/>
        <v>5</v>
      </c>
      <c r="H371" s="184">
        <f t="shared" si="122"/>
        <v>0</v>
      </c>
    </row>
    <row r="372" spans="1:8" x14ac:dyDescent="0.25">
      <c r="A372" s="61"/>
      <c r="B372" s="186" t="s">
        <v>151</v>
      </c>
      <c r="C372" s="73"/>
      <c r="D372" s="73"/>
      <c r="E372" s="73"/>
      <c r="F372" s="74"/>
      <c r="G372" s="60"/>
      <c r="H372" s="61"/>
    </row>
    <row r="373" spans="1:8" x14ac:dyDescent="0.25">
      <c r="A373" s="61">
        <v>1</v>
      </c>
      <c r="B373" s="76" t="s">
        <v>152</v>
      </c>
      <c r="C373" s="66">
        <v>0.25</v>
      </c>
      <c r="D373" s="66">
        <f t="shared" ref="D373:D379" si="123">C373-G373-H373</f>
        <v>0</v>
      </c>
      <c r="E373" s="66">
        <f t="shared" ref="E373:E379" si="124">D373-F373</f>
        <v>0</v>
      </c>
      <c r="F373" s="67"/>
      <c r="G373" s="60">
        <v>0.25</v>
      </c>
      <c r="H373" s="68"/>
    </row>
    <row r="374" spans="1:8" x14ac:dyDescent="0.25">
      <c r="A374" s="61">
        <v>2</v>
      </c>
      <c r="B374" s="76" t="s">
        <v>90</v>
      </c>
      <c r="C374" s="66">
        <f>3.75+1+0.5</f>
        <v>5.25</v>
      </c>
      <c r="D374" s="66">
        <f t="shared" si="123"/>
        <v>1</v>
      </c>
      <c r="E374" s="66">
        <f t="shared" si="124"/>
        <v>1</v>
      </c>
      <c r="F374" s="67"/>
      <c r="G374" s="102">
        <f>0.5+0.25+0.5+3</f>
        <v>4.25</v>
      </c>
      <c r="H374" s="68"/>
    </row>
    <row r="375" spans="1:8" x14ac:dyDescent="0.25">
      <c r="A375" s="61">
        <v>3</v>
      </c>
      <c r="B375" s="76" t="s">
        <v>53</v>
      </c>
      <c r="C375" s="66">
        <v>0.5</v>
      </c>
      <c r="D375" s="66">
        <f t="shared" si="123"/>
        <v>0.25</v>
      </c>
      <c r="E375" s="66">
        <f t="shared" si="124"/>
        <v>0.25</v>
      </c>
      <c r="F375" s="67"/>
      <c r="G375" s="60">
        <v>0.25</v>
      </c>
      <c r="H375" s="68"/>
    </row>
    <row r="376" spans="1:8" x14ac:dyDescent="0.25">
      <c r="A376" s="61">
        <v>4</v>
      </c>
      <c r="B376" s="76" t="s">
        <v>64</v>
      </c>
      <c r="C376" s="66">
        <f>4.25+1</f>
        <v>5.25</v>
      </c>
      <c r="D376" s="66">
        <f t="shared" si="123"/>
        <v>0.25</v>
      </c>
      <c r="E376" s="66">
        <f t="shared" si="124"/>
        <v>0.25</v>
      </c>
      <c r="F376" s="67"/>
      <c r="G376" s="102">
        <f>0.5+0.25+3.25</f>
        <v>4</v>
      </c>
      <c r="H376" s="68">
        <v>1</v>
      </c>
    </row>
    <row r="377" spans="1:8" x14ac:dyDescent="0.25">
      <c r="A377" s="61">
        <v>5</v>
      </c>
      <c r="B377" s="76" t="s">
        <v>44</v>
      </c>
      <c r="C377" s="66">
        <v>0.5</v>
      </c>
      <c r="D377" s="66">
        <f t="shared" si="123"/>
        <v>0.25</v>
      </c>
      <c r="E377" s="66">
        <f t="shared" si="124"/>
        <v>0.25</v>
      </c>
      <c r="F377" s="67"/>
      <c r="G377" s="60">
        <v>0.25</v>
      </c>
      <c r="H377" s="68"/>
    </row>
    <row r="378" spans="1:8" x14ac:dyDescent="0.25">
      <c r="A378" s="61">
        <v>6</v>
      </c>
      <c r="B378" s="76" t="s">
        <v>45</v>
      </c>
      <c r="C378" s="66">
        <v>1</v>
      </c>
      <c r="D378" s="66">
        <f t="shared" si="123"/>
        <v>0</v>
      </c>
      <c r="E378" s="66">
        <f t="shared" si="124"/>
        <v>0</v>
      </c>
      <c r="F378" s="67"/>
      <c r="G378" s="102">
        <v>1</v>
      </c>
      <c r="H378" s="68"/>
    </row>
    <row r="379" spans="1:8" x14ac:dyDescent="0.25">
      <c r="A379" s="61">
        <v>7</v>
      </c>
      <c r="B379" s="76" t="s">
        <v>478</v>
      </c>
      <c r="C379" s="66">
        <v>2</v>
      </c>
      <c r="D379" s="66">
        <f t="shared" si="123"/>
        <v>0</v>
      </c>
      <c r="E379" s="66">
        <f t="shared" si="124"/>
        <v>0</v>
      </c>
      <c r="F379" s="67"/>
      <c r="G379" s="102">
        <f>1+1</f>
        <v>2</v>
      </c>
      <c r="H379" s="68"/>
    </row>
    <row r="380" spans="1:8" ht="29.25" x14ac:dyDescent="0.25">
      <c r="A380" s="61"/>
      <c r="B380" s="187" t="s">
        <v>153</v>
      </c>
      <c r="C380" s="188">
        <f t="shared" ref="C380:H380" si="125">SUM(C373:C379)</f>
        <v>14.75</v>
      </c>
      <c r="D380" s="188">
        <f t="shared" si="125"/>
        <v>1.75</v>
      </c>
      <c r="E380" s="188">
        <f t="shared" si="125"/>
        <v>1.75</v>
      </c>
      <c r="F380" s="189">
        <f t="shared" si="125"/>
        <v>0</v>
      </c>
      <c r="G380" s="188">
        <f t="shared" si="125"/>
        <v>12</v>
      </c>
      <c r="H380" s="188">
        <f t="shared" si="125"/>
        <v>1</v>
      </c>
    </row>
    <row r="381" spans="1:8" x14ac:dyDescent="0.25">
      <c r="A381" s="61"/>
      <c r="B381" s="190" t="s">
        <v>131</v>
      </c>
      <c r="C381" s="191">
        <f t="shared" ref="C381:H381" si="126">SUM(C382:C386)-C383</f>
        <v>14.75</v>
      </c>
      <c r="D381" s="191">
        <f t="shared" si="126"/>
        <v>1.75</v>
      </c>
      <c r="E381" s="191">
        <f t="shared" si="126"/>
        <v>1.75</v>
      </c>
      <c r="F381" s="192">
        <f t="shared" si="126"/>
        <v>0</v>
      </c>
      <c r="G381" s="191">
        <f t="shared" si="126"/>
        <v>12</v>
      </c>
      <c r="H381" s="191">
        <f t="shared" si="126"/>
        <v>1</v>
      </c>
    </row>
    <row r="382" spans="1:8" x14ac:dyDescent="0.25">
      <c r="A382" s="61"/>
      <c r="B382" s="193" t="s">
        <v>110</v>
      </c>
      <c r="C382" s="188">
        <f t="shared" ref="C382:H382" si="127">SUM(C373:C374)</f>
        <v>5.5</v>
      </c>
      <c r="D382" s="188">
        <f t="shared" si="127"/>
        <v>1</v>
      </c>
      <c r="E382" s="188">
        <f t="shared" si="127"/>
        <v>1</v>
      </c>
      <c r="F382" s="189">
        <f t="shared" si="127"/>
        <v>0</v>
      </c>
      <c r="G382" s="188">
        <f t="shared" si="127"/>
        <v>4.5</v>
      </c>
      <c r="H382" s="188">
        <f t="shared" si="127"/>
        <v>0</v>
      </c>
    </row>
    <row r="383" spans="1:8" x14ac:dyDescent="0.25">
      <c r="A383" s="61"/>
      <c r="B383" s="194" t="s">
        <v>154</v>
      </c>
      <c r="C383" s="188">
        <v>1.25</v>
      </c>
      <c r="D383" s="188">
        <f>C383</f>
        <v>1.25</v>
      </c>
      <c r="E383" s="188">
        <f>D383</f>
        <v>1.25</v>
      </c>
      <c r="F383" s="189">
        <f>E383</f>
        <v>1.25</v>
      </c>
      <c r="G383" s="188">
        <v>0</v>
      </c>
      <c r="H383" s="188">
        <v>0</v>
      </c>
    </row>
    <row r="384" spans="1:8" x14ac:dyDescent="0.25">
      <c r="A384" s="61"/>
      <c r="B384" s="193" t="s">
        <v>112</v>
      </c>
      <c r="C384" s="188">
        <f t="shared" ref="C384:H384" si="128">SUM(C375:C376)</f>
        <v>5.75</v>
      </c>
      <c r="D384" s="188">
        <f t="shared" si="128"/>
        <v>0.5</v>
      </c>
      <c r="E384" s="188">
        <f t="shared" si="128"/>
        <v>0.5</v>
      </c>
      <c r="F384" s="189">
        <f t="shared" si="128"/>
        <v>0</v>
      </c>
      <c r="G384" s="188">
        <f t="shared" si="128"/>
        <v>4.25</v>
      </c>
      <c r="H384" s="188">
        <f t="shared" si="128"/>
        <v>1</v>
      </c>
    </row>
    <row r="385" spans="1:8" x14ac:dyDescent="0.25">
      <c r="A385" s="61"/>
      <c r="B385" s="193" t="s">
        <v>113</v>
      </c>
      <c r="C385" s="188">
        <f t="shared" ref="C385:H385" si="129">SUM(C377:C378)</f>
        <v>1.5</v>
      </c>
      <c r="D385" s="188">
        <f t="shared" si="129"/>
        <v>0.25</v>
      </c>
      <c r="E385" s="188">
        <f t="shared" si="129"/>
        <v>0.25</v>
      </c>
      <c r="F385" s="189">
        <f t="shared" si="129"/>
        <v>0</v>
      </c>
      <c r="G385" s="188">
        <f t="shared" si="129"/>
        <v>1.25</v>
      </c>
      <c r="H385" s="188">
        <f t="shared" si="129"/>
        <v>0</v>
      </c>
    </row>
    <row r="386" spans="1:8" x14ac:dyDescent="0.25">
      <c r="A386" s="61"/>
      <c r="B386" s="193" t="s">
        <v>114</v>
      </c>
      <c r="C386" s="188">
        <f t="shared" ref="C386:H386" si="130">C379</f>
        <v>2</v>
      </c>
      <c r="D386" s="188">
        <f t="shared" si="130"/>
        <v>0</v>
      </c>
      <c r="E386" s="188">
        <f t="shared" si="130"/>
        <v>0</v>
      </c>
      <c r="F386" s="189">
        <f t="shared" si="130"/>
        <v>0</v>
      </c>
      <c r="G386" s="188">
        <f t="shared" si="130"/>
        <v>2</v>
      </c>
      <c r="H386" s="188">
        <f t="shared" si="130"/>
        <v>0</v>
      </c>
    </row>
    <row r="387" spans="1:8" x14ac:dyDescent="0.25">
      <c r="A387" s="61"/>
      <c r="B387" s="195" t="s">
        <v>479</v>
      </c>
      <c r="C387" s="66"/>
      <c r="D387" s="188"/>
      <c r="E387" s="188"/>
      <c r="F387" s="189"/>
      <c r="G387" s="188"/>
      <c r="H387" s="188"/>
    </row>
    <row r="388" spans="1:8" ht="26.25" x14ac:dyDescent="0.25">
      <c r="A388" s="61">
        <v>1</v>
      </c>
      <c r="B388" s="88" t="s">
        <v>480</v>
      </c>
      <c r="C388" s="66">
        <v>0.25</v>
      </c>
      <c r="D388" s="66">
        <f>C388-G388-H388</f>
        <v>0</v>
      </c>
      <c r="E388" s="66">
        <f>D388-F388</f>
        <v>0</v>
      </c>
      <c r="F388" s="67"/>
      <c r="G388" s="66">
        <v>0.25</v>
      </c>
      <c r="H388" s="188"/>
    </row>
    <row r="389" spans="1:8" x14ac:dyDescent="0.25">
      <c r="A389" s="61">
        <v>2</v>
      </c>
      <c r="B389" s="88" t="s">
        <v>94</v>
      </c>
      <c r="C389" s="66">
        <v>1</v>
      </c>
      <c r="D389" s="66"/>
      <c r="E389" s="66">
        <f>D389-F389</f>
        <v>0</v>
      </c>
      <c r="F389" s="67"/>
      <c r="G389" s="68">
        <v>0.5</v>
      </c>
      <c r="H389" s="66">
        <v>0.5</v>
      </c>
    </row>
    <row r="390" spans="1:8" x14ac:dyDescent="0.25">
      <c r="A390" s="61">
        <v>3</v>
      </c>
      <c r="B390" s="76" t="s">
        <v>45</v>
      </c>
      <c r="C390" s="66">
        <v>1</v>
      </c>
      <c r="D390" s="66">
        <f>C390-G390-H390</f>
        <v>0</v>
      </c>
      <c r="E390" s="66">
        <f>D390-F390</f>
        <v>0</v>
      </c>
      <c r="F390" s="67"/>
      <c r="G390" s="66">
        <v>1</v>
      </c>
      <c r="H390" s="66"/>
    </row>
    <row r="391" spans="1:8" x14ac:dyDescent="0.25">
      <c r="A391" s="61">
        <v>4</v>
      </c>
      <c r="B391" s="76" t="s">
        <v>269</v>
      </c>
      <c r="C391" s="66">
        <v>1</v>
      </c>
      <c r="D391" s="66"/>
      <c r="E391" s="66">
        <f>D391-F391</f>
        <v>0</v>
      </c>
      <c r="F391" s="67"/>
      <c r="G391" s="66"/>
      <c r="H391" s="66">
        <v>1</v>
      </c>
    </row>
    <row r="392" spans="1:8" x14ac:dyDescent="0.25">
      <c r="A392" s="61"/>
      <c r="B392" s="196" t="s">
        <v>80</v>
      </c>
      <c r="C392" s="66"/>
      <c r="D392" s="66"/>
      <c r="E392" s="66"/>
      <c r="F392" s="67"/>
      <c r="G392" s="66"/>
      <c r="H392" s="66"/>
    </row>
    <row r="393" spans="1:8" x14ac:dyDescent="0.25">
      <c r="A393" s="61">
        <v>5</v>
      </c>
      <c r="B393" s="76" t="s">
        <v>81</v>
      </c>
      <c r="C393" s="66">
        <f>0.25+0.25+0.5+1</f>
        <v>2</v>
      </c>
      <c r="D393" s="66">
        <f>C393-G393-H393</f>
        <v>0</v>
      </c>
      <c r="E393" s="66">
        <f t="shared" ref="E393:E400" si="131">D393-F393</f>
        <v>0</v>
      </c>
      <c r="F393" s="67"/>
      <c r="G393" s="66">
        <f>0.25+0.25-0.5</f>
        <v>0</v>
      </c>
      <c r="H393" s="66">
        <f>0.5+0.5+1</f>
        <v>2</v>
      </c>
    </row>
    <row r="394" spans="1:8" x14ac:dyDescent="0.25">
      <c r="A394" s="61">
        <v>6</v>
      </c>
      <c r="B394" s="76" t="s">
        <v>64</v>
      </c>
      <c r="C394" s="66">
        <v>1</v>
      </c>
      <c r="D394" s="66">
        <f>C394-G394-H394</f>
        <v>0</v>
      </c>
      <c r="E394" s="66">
        <f t="shared" si="131"/>
        <v>0</v>
      </c>
      <c r="F394" s="67"/>
      <c r="G394" s="66"/>
      <c r="H394" s="66">
        <v>1</v>
      </c>
    </row>
    <row r="395" spans="1:8" x14ac:dyDescent="0.25">
      <c r="A395" s="61"/>
      <c r="B395" s="79" t="s">
        <v>91</v>
      </c>
      <c r="C395" s="66"/>
      <c r="D395" s="66">
        <f>C395-G395-H395</f>
        <v>0</v>
      </c>
      <c r="E395" s="66">
        <f t="shared" si="131"/>
        <v>0</v>
      </c>
      <c r="F395" s="67"/>
      <c r="G395" s="66"/>
      <c r="H395" s="66"/>
    </row>
    <row r="396" spans="1:8" x14ac:dyDescent="0.25">
      <c r="A396" s="61">
        <v>7</v>
      </c>
      <c r="B396" s="76" t="s">
        <v>92</v>
      </c>
      <c r="C396" s="66">
        <f>2+1</f>
        <v>3</v>
      </c>
      <c r="D396" s="66">
        <f>C396-G396-H396</f>
        <v>0.5</v>
      </c>
      <c r="E396" s="66">
        <f t="shared" si="131"/>
        <v>0.5</v>
      </c>
      <c r="F396" s="67"/>
      <c r="G396" s="66">
        <f>1+0.5</f>
        <v>1.5</v>
      </c>
      <c r="H396" s="66">
        <v>1</v>
      </c>
    </row>
    <row r="397" spans="1:8" x14ac:dyDescent="0.25">
      <c r="A397" s="61">
        <v>8</v>
      </c>
      <c r="B397" s="76" t="s">
        <v>64</v>
      </c>
      <c r="C397" s="66">
        <f>2+1</f>
        <v>3</v>
      </c>
      <c r="D397" s="66">
        <f>C397-G397-H397</f>
        <v>0.5</v>
      </c>
      <c r="E397" s="66">
        <f t="shared" si="131"/>
        <v>0.5</v>
      </c>
      <c r="F397" s="67"/>
      <c r="G397" s="66">
        <f>1+0.5</f>
        <v>1.5</v>
      </c>
      <c r="H397" s="66">
        <v>1</v>
      </c>
    </row>
    <row r="398" spans="1:8" x14ac:dyDescent="0.25">
      <c r="A398" s="61"/>
      <c r="B398" s="79" t="s">
        <v>481</v>
      </c>
      <c r="C398" s="197"/>
      <c r="D398" s="66"/>
      <c r="E398" s="66">
        <f t="shared" si="131"/>
        <v>0</v>
      </c>
      <c r="F398" s="67"/>
      <c r="G398" s="197"/>
      <c r="H398" s="66"/>
    </row>
    <row r="399" spans="1:8" x14ac:dyDescent="0.25">
      <c r="A399" s="61">
        <v>9</v>
      </c>
      <c r="B399" s="88" t="s">
        <v>143</v>
      </c>
      <c r="C399" s="66">
        <f>1+1</f>
        <v>2</v>
      </c>
      <c r="D399" s="66">
        <f>C399-G399-H399</f>
        <v>0</v>
      </c>
      <c r="E399" s="66">
        <f t="shared" si="131"/>
        <v>0</v>
      </c>
      <c r="F399" s="67"/>
      <c r="G399" s="68">
        <f>1-1</f>
        <v>0</v>
      </c>
      <c r="H399" s="66">
        <f>1+1</f>
        <v>2</v>
      </c>
    </row>
    <row r="400" spans="1:8" ht="26.25" x14ac:dyDescent="0.25">
      <c r="A400" s="47">
        <v>10</v>
      </c>
      <c r="B400" s="88" t="s">
        <v>482</v>
      </c>
      <c r="C400" s="66">
        <f>1+1</f>
        <v>2</v>
      </c>
      <c r="D400" s="66">
        <f>C400-G400-H400</f>
        <v>0</v>
      </c>
      <c r="E400" s="66">
        <f t="shared" si="131"/>
        <v>0</v>
      </c>
      <c r="F400" s="67"/>
      <c r="G400" s="68">
        <f>0.5-0.5</f>
        <v>0</v>
      </c>
      <c r="H400" s="66">
        <f>1+1</f>
        <v>2</v>
      </c>
    </row>
    <row r="401" spans="1:8" ht="26.25" x14ac:dyDescent="0.25">
      <c r="A401" s="61"/>
      <c r="B401" s="198" t="s">
        <v>483</v>
      </c>
      <c r="C401" s="199">
        <f t="shared" ref="C401:H401" si="132">SUM(C388:C400)</f>
        <v>16.25</v>
      </c>
      <c r="D401" s="199">
        <f t="shared" si="132"/>
        <v>1</v>
      </c>
      <c r="E401" s="199">
        <f t="shared" si="132"/>
        <v>1</v>
      </c>
      <c r="F401" s="200">
        <f t="shared" si="132"/>
        <v>0</v>
      </c>
      <c r="G401" s="199">
        <f t="shared" si="132"/>
        <v>4.75</v>
      </c>
      <c r="H401" s="199">
        <f t="shared" si="132"/>
        <v>10.5</v>
      </c>
    </row>
    <row r="402" spans="1:8" x14ac:dyDescent="0.25">
      <c r="A402" s="61"/>
      <c r="B402" s="190" t="s">
        <v>131</v>
      </c>
      <c r="C402" s="191">
        <f t="shared" ref="C402:H402" si="133">SUM(C403:C407)-C404</f>
        <v>16.25</v>
      </c>
      <c r="D402" s="191">
        <f t="shared" si="133"/>
        <v>1</v>
      </c>
      <c r="E402" s="191">
        <f t="shared" si="133"/>
        <v>1</v>
      </c>
      <c r="F402" s="192">
        <f t="shared" si="133"/>
        <v>0</v>
      </c>
      <c r="G402" s="191">
        <f t="shared" si="133"/>
        <v>4.75</v>
      </c>
      <c r="H402" s="191">
        <f t="shared" si="133"/>
        <v>10.5</v>
      </c>
    </row>
    <row r="403" spans="1:8" x14ac:dyDescent="0.25">
      <c r="A403" s="61"/>
      <c r="B403" s="193" t="s">
        <v>110</v>
      </c>
      <c r="C403" s="188">
        <f t="shared" ref="C403:H403" si="134">C388+C393+C396+C399</f>
        <v>7.25</v>
      </c>
      <c r="D403" s="188">
        <f t="shared" si="134"/>
        <v>0.5</v>
      </c>
      <c r="E403" s="188">
        <f t="shared" si="134"/>
        <v>0.5</v>
      </c>
      <c r="F403" s="189">
        <f t="shared" si="134"/>
        <v>0</v>
      </c>
      <c r="G403" s="188">
        <f t="shared" si="134"/>
        <v>1.75</v>
      </c>
      <c r="H403" s="188">
        <f t="shared" si="134"/>
        <v>5</v>
      </c>
    </row>
    <row r="404" spans="1:8" x14ac:dyDescent="0.25">
      <c r="A404" s="61"/>
      <c r="B404" s="194" t="s">
        <v>154</v>
      </c>
      <c r="C404" s="188">
        <f t="shared" ref="C404:H404" si="135">C396</f>
        <v>3</v>
      </c>
      <c r="D404" s="188">
        <f t="shared" si="135"/>
        <v>0.5</v>
      </c>
      <c r="E404" s="188">
        <f t="shared" si="135"/>
        <v>0.5</v>
      </c>
      <c r="F404" s="189">
        <f t="shared" si="135"/>
        <v>0</v>
      </c>
      <c r="G404" s="188">
        <f t="shared" si="135"/>
        <v>1.5</v>
      </c>
      <c r="H404" s="188">
        <f t="shared" si="135"/>
        <v>1</v>
      </c>
    </row>
    <row r="405" spans="1:8" x14ac:dyDescent="0.25">
      <c r="A405" s="61"/>
      <c r="B405" s="193" t="s">
        <v>112</v>
      </c>
      <c r="C405" s="188">
        <f t="shared" ref="C405:H405" si="136">C397+C400+C394+C389</f>
        <v>7</v>
      </c>
      <c r="D405" s="188">
        <f t="shared" si="136"/>
        <v>0.5</v>
      </c>
      <c r="E405" s="188">
        <f t="shared" si="136"/>
        <v>0.5</v>
      </c>
      <c r="F405" s="189">
        <f t="shared" si="136"/>
        <v>0</v>
      </c>
      <c r="G405" s="188">
        <f t="shared" si="136"/>
        <v>2</v>
      </c>
      <c r="H405" s="188">
        <f t="shared" si="136"/>
        <v>4.5</v>
      </c>
    </row>
    <row r="406" spans="1:8" x14ac:dyDescent="0.25">
      <c r="A406" s="61"/>
      <c r="B406" s="193" t="s">
        <v>113</v>
      </c>
      <c r="C406" s="188">
        <f t="shared" ref="C406:H407" si="137">C390</f>
        <v>1</v>
      </c>
      <c r="D406" s="188">
        <f t="shared" si="137"/>
        <v>0</v>
      </c>
      <c r="E406" s="188">
        <f t="shared" si="137"/>
        <v>0</v>
      </c>
      <c r="F406" s="189">
        <f t="shared" si="137"/>
        <v>0</v>
      </c>
      <c r="G406" s="188">
        <f t="shared" si="137"/>
        <v>1</v>
      </c>
      <c r="H406" s="188">
        <f t="shared" si="137"/>
        <v>0</v>
      </c>
    </row>
    <row r="407" spans="1:8" x14ac:dyDescent="0.25">
      <c r="A407" s="61"/>
      <c r="B407" s="193" t="s">
        <v>114</v>
      </c>
      <c r="C407" s="188">
        <f t="shared" si="137"/>
        <v>1</v>
      </c>
      <c r="D407" s="188">
        <f t="shared" si="137"/>
        <v>0</v>
      </c>
      <c r="E407" s="188">
        <f t="shared" si="137"/>
        <v>0</v>
      </c>
      <c r="F407" s="189">
        <f t="shared" si="137"/>
        <v>0</v>
      </c>
      <c r="G407" s="188">
        <f t="shared" si="137"/>
        <v>0</v>
      </c>
      <c r="H407" s="188">
        <f t="shared" si="137"/>
        <v>1</v>
      </c>
    </row>
    <row r="408" spans="1:8" x14ac:dyDescent="0.25">
      <c r="A408" s="61"/>
      <c r="B408" s="166" t="s">
        <v>155</v>
      </c>
      <c r="C408" s="68"/>
      <c r="D408" s="68"/>
      <c r="E408" s="68"/>
      <c r="F408" s="71"/>
      <c r="G408" s="60"/>
      <c r="H408" s="61"/>
    </row>
    <row r="409" spans="1:8" x14ac:dyDescent="0.25">
      <c r="A409" s="61">
        <v>1</v>
      </c>
      <c r="B409" s="201" t="s">
        <v>32</v>
      </c>
      <c r="C409" s="68">
        <f>0.75+0.25</f>
        <v>1</v>
      </c>
      <c r="D409" s="68">
        <f>C409-G409-H409</f>
        <v>0.75</v>
      </c>
      <c r="E409" s="66">
        <f>D409-F409</f>
        <v>0.75</v>
      </c>
      <c r="F409" s="71"/>
      <c r="G409" s="60">
        <v>0.25</v>
      </c>
      <c r="H409" s="68"/>
    </row>
    <row r="410" spans="1:8" x14ac:dyDescent="0.25">
      <c r="A410" s="61">
        <v>2</v>
      </c>
      <c r="B410" s="76" t="s">
        <v>94</v>
      </c>
      <c r="C410" s="68">
        <f>0.5+0.5</f>
        <v>1</v>
      </c>
      <c r="D410" s="68">
        <f>C410-G410-H410</f>
        <v>0.75</v>
      </c>
      <c r="E410" s="66">
        <f>D410-F410</f>
        <v>0.75</v>
      </c>
      <c r="F410" s="71"/>
      <c r="G410" s="60">
        <v>0.25</v>
      </c>
      <c r="H410" s="68"/>
    </row>
    <row r="411" spans="1:8" x14ac:dyDescent="0.25">
      <c r="A411" s="61">
        <v>3</v>
      </c>
      <c r="B411" s="76" t="s">
        <v>210</v>
      </c>
      <c r="C411" s="68">
        <v>1</v>
      </c>
      <c r="D411" s="68">
        <f>C411-G411-H411</f>
        <v>0.25</v>
      </c>
      <c r="E411" s="66">
        <f>D411-F411</f>
        <v>0.25</v>
      </c>
      <c r="F411" s="71"/>
      <c r="G411" s="60">
        <v>0.75</v>
      </c>
      <c r="H411" s="68"/>
    </row>
    <row r="412" spans="1:8" x14ac:dyDescent="0.25">
      <c r="A412" s="61">
        <v>4</v>
      </c>
      <c r="B412" s="76" t="s">
        <v>45</v>
      </c>
      <c r="C412" s="66">
        <f>0.5+0.5</f>
        <v>1</v>
      </c>
      <c r="D412" s="68">
        <f>C412-G412-H412</f>
        <v>0.5</v>
      </c>
      <c r="E412" s="66">
        <f>D412-F412</f>
        <v>0.5</v>
      </c>
      <c r="F412" s="71"/>
      <c r="G412" s="102">
        <v>0.5</v>
      </c>
      <c r="H412" s="68"/>
    </row>
    <row r="413" spans="1:8" x14ac:dyDescent="0.25">
      <c r="A413" s="61"/>
      <c r="B413" s="72" t="s">
        <v>57</v>
      </c>
      <c r="C413" s="77">
        <f t="shared" ref="C413:H413" si="138">SUM(C409:C412)</f>
        <v>4</v>
      </c>
      <c r="D413" s="77">
        <f t="shared" si="138"/>
        <v>2.25</v>
      </c>
      <c r="E413" s="77">
        <f t="shared" si="138"/>
        <v>2.25</v>
      </c>
      <c r="F413" s="78">
        <f t="shared" si="138"/>
        <v>0</v>
      </c>
      <c r="G413" s="77">
        <f t="shared" si="138"/>
        <v>1.75</v>
      </c>
      <c r="H413" s="77">
        <f t="shared" si="138"/>
        <v>0</v>
      </c>
    </row>
    <row r="414" spans="1:8" x14ac:dyDescent="0.25">
      <c r="A414" s="61"/>
      <c r="B414" s="33" t="s">
        <v>93</v>
      </c>
      <c r="C414" s="73"/>
      <c r="D414" s="73"/>
      <c r="E414" s="73"/>
      <c r="F414" s="74"/>
      <c r="G414" s="60"/>
      <c r="H414" s="68"/>
    </row>
    <row r="415" spans="1:8" x14ac:dyDescent="0.25">
      <c r="A415" s="61">
        <v>1</v>
      </c>
      <c r="B415" s="76" t="s">
        <v>94</v>
      </c>
      <c r="C415" s="68">
        <f>2+1-0.75-0.25</f>
        <v>2</v>
      </c>
      <c r="D415" s="68">
        <f>C415-G415-H415</f>
        <v>1.75</v>
      </c>
      <c r="E415" s="66">
        <f>D415-F415</f>
        <v>1.75</v>
      </c>
      <c r="F415" s="71"/>
      <c r="G415" s="60">
        <v>0.25</v>
      </c>
      <c r="H415" s="68"/>
    </row>
    <row r="416" spans="1:8" x14ac:dyDescent="0.25">
      <c r="A416" s="61">
        <v>2</v>
      </c>
      <c r="B416" s="76" t="s">
        <v>45</v>
      </c>
      <c r="C416" s="68">
        <f>1-0.25</f>
        <v>0.75</v>
      </c>
      <c r="D416" s="68">
        <f>C416-G416-H416</f>
        <v>0.75</v>
      </c>
      <c r="E416" s="66">
        <f>D416-F416</f>
        <v>0.75</v>
      </c>
      <c r="F416" s="71"/>
      <c r="G416" s="60"/>
      <c r="H416" s="68"/>
    </row>
    <row r="417" spans="1:9" x14ac:dyDescent="0.25">
      <c r="A417" s="61"/>
      <c r="B417" s="72" t="s">
        <v>57</v>
      </c>
      <c r="C417" s="73">
        <f t="shared" ref="C417:H417" si="139">SUM(C415:C416)</f>
        <v>2.75</v>
      </c>
      <c r="D417" s="73">
        <f t="shared" si="139"/>
        <v>2.5</v>
      </c>
      <c r="E417" s="73">
        <f t="shared" si="139"/>
        <v>2.5</v>
      </c>
      <c r="F417" s="74">
        <f t="shared" si="139"/>
        <v>0</v>
      </c>
      <c r="G417" s="73">
        <f t="shared" si="139"/>
        <v>0.25</v>
      </c>
      <c r="H417" s="73">
        <f t="shared" si="139"/>
        <v>0</v>
      </c>
    </row>
    <row r="418" spans="1:9" x14ac:dyDescent="0.25">
      <c r="A418" s="61"/>
      <c r="B418" s="33" t="s">
        <v>95</v>
      </c>
      <c r="C418" s="68"/>
      <c r="D418" s="68"/>
      <c r="E418" s="68"/>
      <c r="F418" s="71"/>
      <c r="G418" s="60"/>
      <c r="H418" s="61"/>
    </row>
    <row r="419" spans="1:9" x14ac:dyDescent="0.25">
      <c r="A419" s="61">
        <v>1</v>
      </c>
      <c r="B419" s="76" t="s">
        <v>475</v>
      </c>
      <c r="C419" s="68">
        <v>1</v>
      </c>
      <c r="D419" s="68">
        <f>C419-G419-H419</f>
        <v>0</v>
      </c>
      <c r="E419" s="66">
        <f>D419-F419</f>
        <v>0</v>
      </c>
      <c r="F419" s="71"/>
      <c r="G419" s="102">
        <f>0.5+0.5</f>
        <v>1</v>
      </c>
      <c r="H419" s="68"/>
    </row>
    <row r="420" spans="1:9" x14ac:dyDescent="0.25">
      <c r="A420" s="61">
        <v>2</v>
      </c>
      <c r="B420" s="76" t="s">
        <v>476</v>
      </c>
      <c r="C420" s="68">
        <v>1</v>
      </c>
      <c r="D420" s="68">
        <f>C420-G420-H420</f>
        <v>0</v>
      </c>
      <c r="E420" s="66">
        <f>D420-F420</f>
        <v>0</v>
      </c>
      <c r="F420" s="71"/>
      <c r="G420" s="102">
        <f>0.5+0.5</f>
        <v>1</v>
      </c>
      <c r="H420" s="68"/>
    </row>
    <row r="421" spans="1:9" x14ac:dyDescent="0.25">
      <c r="A421" s="61">
        <v>3</v>
      </c>
      <c r="B421" s="76" t="s">
        <v>478</v>
      </c>
      <c r="C421" s="68">
        <f>4+1+1</f>
        <v>6</v>
      </c>
      <c r="D421" s="68">
        <f>C421-G421-H421</f>
        <v>0</v>
      </c>
      <c r="E421" s="66">
        <f>D421-F421</f>
        <v>0</v>
      </c>
      <c r="F421" s="71"/>
      <c r="G421" s="102">
        <f>2+1+1+2</f>
        <v>6</v>
      </c>
      <c r="H421" s="68"/>
    </row>
    <row r="422" spans="1:9" x14ac:dyDescent="0.25">
      <c r="A422" s="61"/>
      <c r="B422" s="72" t="s">
        <v>57</v>
      </c>
      <c r="C422" s="73">
        <f t="shared" ref="C422:H422" si="140">SUM(C419:C421)</f>
        <v>8</v>
      </c>
      <c r="D422" s="73">
        <f t="shared" si="140"/>
        <v>0</v>
      </c>
      <c r="E422" s="73">
        <f t="shared" si="140"/>
        <v>0</v>
      </c>
      <c r="F422" s="74">
        <f t="shared" si="140"/>
        <v>0</v>
      </c>
      <c r="G422" s="73">
        <f t="shared" si="140"/>
        <v>8</v>
      </c>
      <c r="H422" s="73">
        <f t="shared" si="140"/>
        <v>0</v>
      </c>
    </row>
    <row r="423" spans="1:9" ht="15.75" x14ac:dyDescent="0.25">
      <c r="A423" s="61"/>
      <c r="B423" s="135" t="s">
        <v>156</v>
      </c>
      <c r="C423" s="136">
        <f t="shared" ref="C423:H423" si="141">C422+C417+C413+C380+C368+C348+C274+C401</f>
        <v>104.5</v>
      </c>
      <c r="D423" s="136">
        <f t="shared" si="141"/>
        <v>20</v>
      </c>
      <c r="E423" s="136">
        <f t="shared" si="141"/>
        <v>20</v>
      </c>
      <c r="F423" s="202">
        <f t="shared" si="141"/>
        <v>0</v>
      </c>
      <c r="G423" s="136">
        <f t="shared" si="141"/>
        <v>63.5</v>
      </c>
      <c r="H423" s="136">
        <f t="shared" si="141"/>
        <v>21</v>
      </c>
      <c r="I423" s="3">
        <f>SUM(E423:H423)</f>
        <v>104.5</v>
      </c>
    </row>
    <row r="424" spans="1:9" x14ac:dyDescent="0.25">
      <c r="A424" s="61"/>
      <c r="B424" s="76" t="s">
        <v>131</v>
      </c>
      <c r="C424" s="83">
        <f t="shared" ref="C424:I424" si="142">SUM(C425:C429)-C426</f>
        <v>104.5</v>
      </c>
      <c r="D424" s="83">
        <f t="shared" si="142"/>
        <v>20</v>
      </c>
      <c r="E424" s="83">
        <f t="shared" si="142"/>
        <v>20</v>
      </c>
      <c r="F424" s="84">
        <f t="shared" si="142"/>
        <v>0</v>
      </c>
      <c r="G424" s="83">
        <f t="shared" si="142"/>
        <v>63.5</v>
      </c>
      <c r="H424" s="83">
        <f t="shared" si="142"/>
        <v>21</v>
      </c>
      <c r="I424" s="15">
        <f t="shared" si="142"/>
        <v>104.5</v>
      </c>
    </row>
    <row r="425" spans="1:9" x14ac:dyDescent="0.25">
      <c r="A425" s="61"/>
      <c r="B425" s="138" t="s">
        <v>110</v>
      </c>
      <c r="C425" s="139">
        <f>C409+C382+C370+C350+C268+C267+C403</f>
        <v>40</v>
      </c>
      <c r="D425" s="139">
        <f t="shared" ref="D425:H425" si="143">D409+D382+D370+D350+D268+D267+D403</f>
        <v>7.5</v>
      </c>
      <c r="E425" s="139">
        <f t="shared" si="143"/>
        <v>7.5</v>
      </c>
      <c r="F425" s="139">
        <f t="shared" si="143"/>
        <v>0</v>
      </c>
      <c r="G425" s="139">
        <f t="shared" si="143"/>
        <v>21.5</v>
      </c>
      <c r="H425" s="139">
        <f t="shared" si="143"/>
        <v>11</v>
      </c>
      <c r="I425" s="3">
        <f>SUM(E425:H425)</f>
        <v>40</v>
      </c>
    </row>
    <row r="426" spans="1:9" x14ac:dyDescent="0.25">
      <c r="A426" s="61"/>
      <c r="B426" s="138" t="s">
        <v>111</v>
      </c>
      <c r="C426" s="139">
        <f>C351+C383+C404</f>
        <v>16.75</v>
      </c>
      <c r="D426" s="139">
        <f t="shared" ref="D426:H426" si="144">D351+D383+D404</f>
        <v>1.75</v>
      </c>
      <c r="E426" s="139">
        <f t="shared" si="144"/>
        <v>1.75</v>
      </c>
      <c r="F426" s="139">
        <f t="shared" si="144"/>
        <v>1.25</v>
      </c>
      <c r="G426" s="139">
        <f t="shared" si="144"/>
        <v>11.25</v>
      </c>
      <c r="H426" s="139">
        <f t="shared" si="144"/>
        <v>3.75</v>
      </c>
      <c r="I426" s="3">
        <f t="shared" ref="I426:I429" si="145">SUM(E426:H426)</f>
        <v>18</v>
      </c>
    </row>
    <row r="427" spans="1:9" x14ac:dyDescent="0.25">
      <c r="A427" s="61"/>
      <c r="B427" s="138" t="s">
        <v>112</v>
      </c>
      <c r="C427" s="139">
        <f>C415+C410+C384+C371+C352+C269+C270+C271+C405+C411</f>
        <v>45.25</v>
      </c>
      <c r="D427" s="139">
        <f t="shared" ref="D427:H427" si="146">D415+D410+D384+D371+D352+D269+D270+D271+D405+D411</f>
        <v>9.75</v>
      </c>
      <c r="E427" s="139">
        <f t="shared" si="146"/>
        <v>9.75</v>
      </c>
      <c r="F427" s="139">
        <f t="shared" si="146"/>
        <v>0</v>
      </c>
      <c r="G427" s="139">
        <f t="shared" si="146"/>
        <v>26.5</v>
      </c>
      <c r="H427" s="139">
        <f t="shared" si="146"/>
        <v>9</v>
      </c>
      <c r="I427" s="3">
        <f t="shared" si="145"/>
        <v>45.25</v>
      </c>
    </row>
    <row r="428" spans="1:9" x14ac:dyDescent="0.25">
      <c r="A428" s="61"/>
      <c r="B428" s="138" t="s">
        <v>113</v>
      </c>
      <c r="C428" s="139">
        <f>C416+C412+C385+C353+C272+C406</f>
        <v>7.25</v>
      </c>
      <c r="D428" s="139">
        <f t="shared" ref="D428:H428" si="147">D416+D412+D385+D353+D272+D406</f>
        <v>2</v>
      </c>
      <c r="E428" s="139">
        <f t="shared" si="147"/>
        <v>2</v>
      </c>
      <c r="F428" s="139">
        <f t="shared" si="147"/>
        <v>0</v>
      </c>
      <c r="G428" s="139">
        <f t="shared" si="147"/>
        <v>5.25</v>
      </c>
      <c r="H428" s="139">
        <f t="shared" si="147"/>
        <v>0</v>
      </c>
      <c r="I428" s="3">
        <f t="shared" si="145"/>
        <v>7.25</v>
      </c>
    </row>
    <row r="429" spans="1:9" x14ac:dyDescent="0.25">
      <c r="A429" s="61"/>
      <c r="B429" s="138" t="s">
        <v>114</v>
      </c>
      <c r="C429" s="139">
        <f>C273+C386+C419+C420+C421+C407</f>
        <v>12</v>
      </c>
      <c r="D429" s="139">
        <f t="shared" ref="D429:H429" si="148">D273+D386+D419+D420+D421+D407</f>
        <v>0.75</v>
      </c>
      <c r="E429" s="139">
        <f t="shared" si="148"/>
        <v>0.75</v>
      </c>
      <c r="F429" s="139">
        <f t="shared" si="148"/>
        <v>0</v>
      </c>
      <c r="G429" s="139">
        <f t="shared" si="148"/>
        <v>10.25</v>
      </c>
      <c r="H429" s="139">
        <f t="shared" si="148"/>
        <v>1</v>
      </c>
      <c r="I429" s="3">
        <f t="shared" si="145"/>
        <v>12</v>
      </c>
    </row>
    <row r="430" spans="1:9" ht="18.75" x14ac:dyDescent="0.3">
      <c r="A430" s="124"/>
      <c r="B430" s="101" t="s">
        <v>157</v>
      </c>
      <c r="C430" s="91"/>
      <c r="D430" s="91"/>
      <c r="E430" s="91"/>
      <c r="F430" s="92"/>
      <c r="G430" s="60"/>
      <c r="H430" s="61"/>
    </row>
    <row r="431" spans="1:9" x14ac:dyDescent="0.25">
      <c r="A431" s="124"/>
      <c r="B431" s="62" t="s">
        <v>158</v>
      </c>
      <c r="C431" s="68"/>
      <c r="D431" s="68"/>
      <c r="E431" s="68"/>
      <c r="F431" s="71"/>
      <c r="G431" s="60"/>
      <c r="H431" s="61"/>
    </row>
    <row r="432" spans="1:9" x14ac:dyDescent="0.25">
      <c r="A432" s="56">
        <v>1</v>
      </c>
      <c r="B432" s="86" t="s">
        <v>134</v>
      </c>
      <c r="C432" s="68">
        <v>1</v>
      </c>
      <c r="D432" s="68">
        <f t="shared" ref="D432:D438" si="149">C432-G432-H432</f>
        <v>0.5</v>
      </c>
      <c r="E432" s="66">
        <f t="shared" ref="E432:E438" si="150">D432-F432</f>
        <v>0.5</v>
      </c>
      <c r="F432" s="71"/>
      <c r="G432" s="102">
        <v>0.5</v>
      </c>
      <c r="H432" s="68"/>
    </row>
    <row r="433" spans="1:8" ht="26.25" x14ac:dyDescent="0.25">
      <c r="A433" s="56">
        <v>2</v>
      </c>
      <c r="B433" s="103" t="s">
        <v>548</v>
      </c>
      <c r="C433" s="68">
        <v>1</v>
      </c>
      <c r="D433" s="68">
        <f t="shared" si="149"/>
        <v>0.5</v>
      </c>
      <c r="E433" s="66">
        <f t="shared" si="150"/>
        <v>0.5</v>
      </c>
      <c r="F433" s="71"/>
      <c r="G433" s="102">
        <v>0.5</v>
      </c>
      <c r="H433" s="68"/>
    </row>
    <row r="434" spans="1:8" ht="26.25" x14ac:dyDescent="0.25">
      <c r="A434" s="56">
        <v>3</v>
      </c>
      <c r="B434" s="103" t="s">
        <v>135</v>
      </c>
      <c r="C434" s="68">
        <v>1</v>
      </c>
      <c r="D434" s="68">
        <f t="shared" si="149"/>
        <v>0.5</v>
      </c>
      <c r="E434" s="66">
        <f t="shared" si="150"/>
        <v>0.5</v>
      </c>
      <c r="F434" s="71"/>
      <c r="G434" s="102">
        <v>0.5</v>
      </c>
      <c r="H434" s="68"/>
    </row>
    <row r="435" spans="1:8" x14ac:dyDescent="0.25">
      <c r="A435" s="56">
        <v>4</v>
      </c>
      <c r="B435" s="76" t="s">
        <v>43</v>
      </c>
      <c r="C435" s="68">
        <v>1</v>
      </c>
      <c r="D435" s="68">
        <f t="shared" si="149"/>
        <v>0.5</v>
      </c>
      <c r="E435" s="66">
        <f t="shared" si="150"/>
        <v>0.5</v>
      </c>
      <c r="F435" s="71"/>
      <c r="G435" s="102">
        <v>0.5</v>
      </c>
      <c r="H435" s="68"/>
    </row>
    <row r="436" spans="1:8" x14ac:dyDescent="0.25">
      <c r="A436" s="56">
        <v>5</v>
      </c>
      <c r="B436" s="76" t="s">
        <v>24</v>
      </c>
      <c r="C436" s="68">
        <v>1</v>
      </c>
      <c r="D436" s="68">
        <f t="shared" si="149"/>
        <v>0.5</v>
      </c>
      <c r="E436" s="66">
        <f t="shared" si="150"/>
        <v>0.5</v>
      </c>
      <c r="F436" s="71"/>
      <c r="G436" s="102">
        <f>0.25+0.25</f>
        <v>0.5</v>
      </c>
      <c r="H436" s="68"/>
    </row>
    <row r="437" spans="1:8" x14ac:dyDescent="0.25">
      <c r="A437" s="56">
        <v>6</v>
      </c>
      <c r="B437" s="76" t="s">
        <v>44</v>
      </c>
      <c r="C437" s="68">
        <v>1</v>
      </c>
      <c r="D437" s="68">
        <f t="shared" si="149"/>
        <v>0.5</v>
      </c>
      <c r="E437" s="66">
        <f t="shared" si="150"/>
        <v>0.5</v>
      </c>
      <c r="F437" s="71"/>
      <c r="G437" s="102">
        <f>0.25+0.25</f>
        <v>0.5</v>
      </c>
      <c r="H437" s="68"/>
    </row>
    <row r="438" spans="1:8" x14ac:dyDescent="0.25">
      <c r="A438" s="61">
        <v>7</v>
      </c>
      <c r="B438" s="76" t="s">
        <v>35</v>
      </c>
      <c r="C438" s="68">
        <v>1</v>
      </c>
      <c r="D438" s="68">
        <f t="shared" si="149"/>
        <v>0.5</v>
      </c>
      <c r="E438" s="66">
        <f t="shared" si="150"/>
        <v>0.5</v>
      </c>
      <c r="F438" s="71"/>
      <c r="G438" s="102">
        <f>0.25+0.25</f>
        <v>0.5</v>
      </c>
      <c r="H438" s="68"/>
    </row>
    <row r="439" spans="1:8" x14ac:dyDescent="0.25">
      <c r="A439" s="56"/>
      <c r="B439" s="161" t="s">
        <v>54</v>
      </c>
      <c r="C439" s="91">
        <f t="shared" ref="C439:H439" si="151">SUM(C432:C438)</f>
        <v>7</v>
      </c>
      <c r="D439" s="91">
        <f t="shared" si="151"/>
        <v>3.5</v>
      </c>
      <c r="E439" s="91">
        <f t="shared" si="151"/>
        <v>3.5</v>
      </c>
      <c r="F439" s="92">
        <f t="shared" si="151"/>
        <v>0</v>
      </c>
      <c r="G439" s="91">
        <f t="shared" si="151"/>
        <v>3.5</v>
      </c>
      <c r="H439" s="91">
        <f t="shared" si="151"/>
        <v>0</v>
      </c>
    </row>
    <row r="440" spans="1:8" x14ac:dyDescent="0.25">
      <c r="A440" s="56"/>
      <c r="B440" s="120" t="s">
        <v>136</v>
      </c>
      <c r="C440" s="68"/>
      <c r="D440" s="68"/>
      <c r="E440" s="68"/>
      <c r="F440" s="71"/>
      <c r="G440" s="60"/>
      <c r="H440" s="61"/>
    </row>
    <row r="441" spans="1:8" x14ac:dyDescent="0.25">
      <c r="A441" s="56">
        <v>1</v>
      </c>
      <c r="B441" s="86" t="s">
        <v>47</v>
      </c>
      <c r="C441" s="68">
        <v>1</v>
      </c>
      <c r="D441" s="68">
        <f>C441-G441-H441</f>
        <v>0</v>
      </c>
      <c r="E441" s="66">
        <f>D441-F441</f>
        <v>0</v>
      </c>
      <c r="F441" s="71"/>
      <c r="G441" s="102">
        <v>1</v>
      </c>
      <c r="H441" s="68"/>
    </row>
    <row r="442" spans="1:8" x14ac:dyDescent="0.25">
      <c r="A442" s="47">
        <v>2</v>
      </c>
      <c r="B442" s="76" t="s">
        <v>551</v>
      </c>
      <c r="C442" s="68">
        <v>0.25</v>
      </c>
      <c r="D442" s="68"/>
      <c r="E442" s="66">
        <f>D442-F442</f>
        <v>0</v>
      </c>
      <c r="F442" s="71"/>
      <c r="G442" s="60"/>
      <c r="H442" s="61">
        <v>0.25</v>
      </c>
    </row>
    <row r="443" spans="1:8" x14ac:dyDescent="0.25">
      <c r="A443" s="56">
        <v>3</v>
      </c>
      <c r="B443" s="86" t="s">
        <v>70</v>
      </c>
      <c r="C443" s="68">
        <v>0.25</v>
      </c>
      <c r="D443" s="68"/>
      <c r="E443" s="66">
        <f>D443-F443</f>
        <v>0</v>
      </c>
      <c r="F443" s="71"/>
      <c r="G443" s="60"/>
      <c r="H443" s="61">
        <v>0.25</v>
      </c>
    </row>
    <row r="444" spans="1:8" x14ac:dyDescent="0.25">
      <c r="A444" s="56">
        <v>4</v>
      </c>
      <c r="B444" s="86" t="s">
        <v>53</v>
      </c>
      <c r="C444" s="68">
        <v>1</v>
      </c>
      <c r="D444" s="68">
        <f>C444-G444-H444</f>
        <v>0</v>
      </c>
      <c r="E444" s="66">
        <f>D444-F444</f>
        <v>0</v>
      </c>
      <c r="F444" s="71"/>
      <c r="G444" s="102">
        <v>1</v>
      </c>
      <c r="H444" s="68"/>
    </row>
    <row r="445" spans="1:8" x14ac:dyDescent="0.25">
      <c r="A445" s="56"/>
      <c r="B445" s="153" t="s">
        <v>564</v>
      </c>
      <c r="C445" s="164">
        <f t="shared" ref="C445:H445" si="152">SUM(C441:C444)</f>
        <v>2.5</v>
      </c>
      <c r="D445" s="164">
        <f t="shared" si="152"/>
        <v>0</v>
      </c>
      <c r="E445" s="164">
        <f t="shared" si="152"/>
        <v>0</v>
      </c>
      <c r="F445" s="165">
        <f t="shared" si="152"/>
        <v>0</v>
      </c>
      <c r="G445" s="164">
        <f t="shared" si="152"/>
        <v>2</v>
      </c>
      <c r="H445" s="164">
        <f t="shared" si="152"/>
        <v>0.5</v>
      </c>
    </row>
    <row r="446" spans="1:8" x14ac:dyDescent="0.25">
      <c r="A446" s="56"/>
      <c r="B446" s="153"/>
      <c r="C446" s="83">
        <f t="shared" ref="C446:H446" si="153">SUM(C447:C448)</f>
        <v>2.5</v>
      </c>
      <c r="D446" s="83">
        <f t="shared" si="153"/>
        <v>0</v>
      </c>
      <c r="E446" s="83">
        <f t="shared" si="153"/>
        <v>0</v>
      </c>
      <c r="F446" s="84">
        <f t="shared" si="153"/>
        <v>0</v>
      </c>
      <c r="G446" s="83">
        <f t="shared" si="153"/>
        <v>2</v>
      </c>
      <c r="H446" s="83">
        <f t="shared" si="153"/>
        <v>0.5</v>
      </c>
    </row>
    <row r="447" spans="1:8" x14ac:dyDescent="0.25">
      <c r="A447" s="56"/>
      <c r="B447" s="157" t="s">
        <v>110</v>
      </c>
      <c r="C447" s="164">
        <f t="shared" ref="C447:H447" si="154">SUM(C441:C443)</f>
        <v>1.5</v>
      </c>
      <c r="D447" s="164">
        <f t="shared" si="154"/>
        <v>0</v>
      </c>
      <c r="E447" s="164">
        <f t="shared" si="154"/>
        <v>0</v>
      </c>
      <c r="F447" s="165">
        <f t="shared" si="154"/>
        <v>0</v>
      </c>
      <c r="G447" s="164">
        <f t="shared" si="154"/>
        <v>1</v>
      </c>
      <c r="H447" s="164">
        <f t="shared" si="154"/>
        <v>0.5</v>
      </c>
    </row>
    <row r="448" spans="1:8" x14ac:dyDescent="0.25">
      <c r="A448" s="56"/>
      <c r="B448" s="157" t="s">
        <v>112</v>
      </c>
      <c r="C448" s="164">
        <f t="shared" ref="C448:H448" si="155">SUM(C444)</f>
        <v>1</v>
      </c>
      <c r="D448" s="164">
        <f t="shared" si="155"/>
        <v>0</v>
      </c>
      <c r="E448" s="164">
        <f t="shared" si="155"/>
        <v>0</v>
      </c>
      <c r="F448" s="165">
        <f t="shared" si="155"/>
        <v>0</v>
      </c>
      <c r="G448" s="164">
        <f t="shared" si="155"/>
        <v>1</v>
      </c>
      <c r="H448" s="164">
        <f t="shared" si="155"/>
        <v>0</v>
      </c>
    </row>
    <row r="449" spans="1:8" x14ac:dyDescent="0.25">
      <c r="A449" s="61"/>
      <c r="B449" s="90" t="s">
        <v>561</v>
      </c>
      <c r="C449" s="68"/>
      <c r="D449" s="68"/>
      <c r="E449" s="68"/>
      <c r="F449" s="71"/>
      <c r="G449" s="102"/>
      <c r="H449" s="68"/>
    </row>
    <row r="450" spans="1:8" x14ac:dyDescent="0.25">
      <c r="A450" s="61">
        <v>1</v>
      </c>
      <c r="B450" s="76" t="s">
        <v>562</v>
      </c>
      <c r="C450" s="68">
        <v>2</v>
      </c>
      <c r="D450" s="68"/>
      <c r="E450" s="68"/>
      <c r="F450" s="71"/>
      <c r="G450" s="102">
        <v>2</v>
      </c>
      <c r="H450" s="68"/>
    </row>
    <row r="451" spans="1:8" x14ac:dyDescent="0.25">
      <c r="A451" s="61"/>
      <c r="B451" s="161" t="s">
        <v>54</v>
      </c>
      <c r="C451" s="164">
        <f t="shared" ref="C451:H451" si="156">SUM(C450)</f>
        <v>2</v>
      </c>
      <c r="D451" s="164">
        <f t="shared" si="156"/>
        <v>0</v>
      </c>
      <c r="E451" s="164">
        <f t="shared" si="156"/>
        <v>0</v>
      </c>
      <c r="F451" s="165">
        <f t="shared" si="156"/>
        <v>0</v>
      </c>
      <c r="G451" s="164">
        <f t="shared" si="156"/>
        <v>2</v>
      </c>
      <c r="H451" s="164">
        <f t="shared" si="156"/>
        <v>0</v>
      </c>
    </row>
    <row r="452" spans="1:8" x14ac:dyDescent="0.25">
      <c r="A452" s="56"/>
      <c r="B452" s="120" t="s">
        <v>77</v>
      </c>
      <c r="C452" s="68"/>
      <c r="D452" s="68"/>
      <c r="E452" s="68"/>
      <c r="F452" s="71"/>
      <c r="G452" s="102"/>
      <c r="H452" s="61"/>
    </row>
    <row r="453" spans="1:8" ht="26.25" x14ac:dyDescent="0.25">
      <c r="A453" s="61">
        <v>1</v>
      </c>
      <c r="B453" s="88" t="s">
        <v>78</v>
      </c>
      <c r="C453" s="68">
        <v>4</v>
      </c>
      <c r="D453" s="68">
        <f>C453-G453-H453</f>
        <v>0</v>
      </c>
      <c r="E453" s="66">
        <f>D453-F453</f>
        <v>0</v>
      </c>
      <c r="F453" s="71"/>
      <c r="G453" s="102">
        <v>4</v>
      </c>
      <c r="H453" s="68"/>
    </row>
    <row r="454" spans="1:8" x14ac:dyDescent="0.25">
      <c r="A454" s="56">
        <v>2</v>
      </c>
      <c r="B454" s="88" t="s">
        <v>79</v>
      </c>
      <c r="C454" s="68">
        <f>4-0.5+0.5</f>
        <v>4</v>
      </c>
      <c r="D454" s="68">
        <f>C454-G454-H454</f>
        <v>0</v>
      </c>
      <c r="E454" s="66">
        <f>D454-F454</f>
        <v>0</v>
      </c>
      <c r="F454" s="71"/>
      <c r="G454" s="102">
        <f>4-0.5+0.5</f>
        <v>4</v>
      </c>
      <c r="H454" s="68"/>
    </row>
    <row r="455" spans="1:8" x14ac:dyDescent="0.25">
      <c r="A455" s="56"/>
      <c r="B455" s="161" t="s">
        <v>54</v>
      </c>
      <c r="C455" s="91">
        <f t="shared" ref="C455:H455" si="157">SUM(C453:C454)</f>
        <v>8</v>
      </c>
      <c r="D455" s="91">
        <f t="shared" si="157"/>
        <v>0</v>
      </c>
      <c r="E455" s="91">
        <f t="shared" si="157"/>
        <v>0</v>
      </c>
      <c r="F455" s="92">
        <f t="shared" si="157"/>
        <v>0</v>
      </c>
      <c r="G455" s="91">
        <f t="shared" si="157"/>
        <v>8</v>
      </c>
      <c r="H455" s="91">
        <f t="shared" si="157"/>
        <v>0</v>
      </c>
    </row>
    <row r="456" spans="1:8" x14ac:dyDescent="0.25">
      <c r="A456" s="56"/>
      <c r="B456" s="33" t="s">
        <v>55</v>
      </c>
      <c r="C456" s="73"/>
      <c r="D456" s="73"/>
      <c r="E456" s="73"/>
      <c r="F456" s="74"/>
      <c r="G456" s="60"/>
      <c r="H456" s="61"/>
    </row>
    <row r="457" spans="1:8" x14ac:dyDescent="0.25">
      <c r="A457" s="56">
        <v>1</v>
      </c>
      <c r="B457" s="76" t="s">
        <v>56</v>
      </c>
      <c r="C457" s="68">
        <f>1-0.5+0.25</f>
        <v>0.75</v>
      </c>
      <c r="D457" s="68">
        <f>C457-G457-H457</f>
        <v>0</v>
      </c>
      <c r="E457" s="66">
        <f>D457-F457</f>
        <v>0</v>
      </c>
      <c r="F457" s="71"/>
      <c r="G457" s="102">
        <f>1-0.5</f>
        <v>0.5</v>
      </c>
      <c r="H457" s="68">
        <v>0.25</v>
      </c>
    </row>
    <row r="458" spans="1:8" x14ac:dyDescent="0.25">
      <c r="A458" s="56">
        <v>2</v>
      </c>
      <c r="B458" s="76" t="s">
        <v>64</v>
      </c>
      <c r="C458" s="68">
        <f>0.5-0.5+0.5-0.5</f>
        <v>0</v>
      </c>
      <c r="D458" s="68">
        <f>C458-G458-H458</f>
        <v>0</v>
      </c>
      <c r="E458" s="66">
        <f>D458-F458</f>
        <v>0</v>
      </c>
      <c r="F458" s="71"/>
      <c r="G458" s="102">
        <f>0.5-0.5+0.5-0.5</f>
        <v>0</v>
      </c>
      <c r="H458" s="68"/>
    </row>
    <row r="459" spans="1:8" x14ac:dyDescent="0.25">
      <c r="A459" s="124"/>
      <c r="B459" s="72" t="s">
        <v>57</v>
      </c>
      <c r="C459" s="73">
        <f t="shared" ref="C459:H459" si="158">SUM(C457:C458)</f>
        <v>0.75</v>
      </c>
      <c r="D459" s="73">
        <f t="shared" si="158"/>
        <v>0</v>
      </c>
      <c r="E459" s="73">
        <f t="shared" si="158"/>
        <v>0</v>
      </c>
      <c r="F459" s="74">
        <f t="shared" si="158"/>
        <v>0</v>
      </c>
      <c r="G459" s="73">
        <f t="shared" si="158"/>
        <v>0.5</v>
      </c>
      <c r="H459" s="73">
        <f t="shared" si="158"/>
        <v>0.25</v>
      </c>
    </row>
    <row r="460" spans="1:8" x14ac:dyDescent="0.25">
      <c r="A460" s="124"/>
      <c r="B460" s="33" t="s">
        <v>60</v>
      </c>
      <c r="C460" s="68"/>
      <c r="D460" s="68"/>
      <c r="E460" s="68"/>
      <c r="F460" s="71"/>
      <c r="G460" s="60"/>
      <c r="H460" s="61"/>
    </row>
    <row r="461" spans="1:8" x14ac:dyDescent="0.25">
      <c r="A461" s="124">
        <v>1</v>
      </c>
      <c r="B461" s="76" t="s">
        <v>62</v>
      </c>
      <c r="C461" s="68">
        <f>0.5-0.25</f>
        <v>0.25</v>
      </c>
      <c r="D461" s="68">
        <f>C461-G461-H461</f>
        <v>0</v>
      </c>
      <c r="E461" s="66">
        <f>D461-F461</f>
        <v>0</v>
      </c>
      <c r="F461" s="71"/>
      <c r="G461" s="60">
        <v>0.25</v>
      </c>
      <c r="H461" s="68"/>
    </row>
    <row r="462" spans="1:8" x14ac:dyDescent="0.25">
      <c r="A462" s="124"/>
      <c r="B462" s="106" t="s">
        <v>57</v>
      </c>
      <c r="C462" s="73">
        <f t="shared" ref="C462:H462" si="159">SUM(C461:C461)</f>
        <v>0.25</v>
      </c>
      <c r="D462" s="73">
        <f t="shared" si="159"/>
        <v>0</v>
      </c>
      <c r="E462" s="73">
        <f t="shared" si="159"/>
        <v>0</v>
      </c>
      <c r="F462" s="74">
        <f t="shared" si="159"/>
        <v>0</v>
      </c>
      <c r="G462" s="73">
        <f t="shared" si="159"/>
        <v>0.25</v>
      </c>
      <c r="H462" s="73">
        <f t="shared" si="159"/>
        <v>0</v>
      </c>
    </row>
    <row r="463" spans="1:8" x14ac:dyDescent="0.25">
      <c r="A463" s="124"/>
      <c r="B463" s="33" t="s">
        <v>80</v>
      </c>
      <c r="C463" s="58"/>
      <c r="D463" s="58"/>
      <c r="E463" s="58"/>
      <c r="F463" s="59"/>
      <c r="G463" s="60"/>
      <c r="H463" s="61"/>
    </row>
    <row r="464" spans="1:8" x14ac:dyDescent="0.25">
      <c r="A464" s="124">
        <v>1</v>
      </c>
      <c r="B464" s="76" t="s">
        <v>81</v>
      </c>
      <c r="C464" s="68">
        <f>1-0.5+0.5</f>
        <v>1</v>
      </c>
      <c r="D464" s="68">
        <f>C464-G464-H464</f>
        <v>0</v>
      </c>
      <c r="E464" s="66">
        <f>D464-F464</f>
        <v>0</v>
      </c>
      <c r="F464" s="71"/>
      <c r="G464" s="102">
        <v>1</v>
      </c>
      <c r="H464" s="68"/>
    </row>
    <row r="465" spans="1:8" x14ac:dyDescent="0.25">
      <c r="A465" s="124">
        <v>2</v>
      </c>
      <c r="B465" s="125" t="s">
        <v>64</v>
      </c>
      <c r="C465" s="68">
        <f>1-0.5+0.5</f>
        <v>1</v>
      </c>
      <c r="D465" s="68">
        <f>C465-G465-H465</f>
        <v>0</v>
      </c>
      <c r="E465" s="66">
        <f>D465-F465</f>
        <v>0</v>
      </c>
      <c r="F465" s="71"/>
      <c r="G465" s="102">
        <f>1-0.5+0.5</f>
        <v>1</v>
      </c>
      <c r="H465" s="68"/>
    </row>
    <row r="466" spans="1:8" x14ac:dyDescent="0.25">
      <c r="A466" s="124"/>
      <c r="B466" s="72" t="s">
        <v>57</v>
      </c>
      <c r="C466" s="73">
        <f t="shared" ref="C466:H466" si="160">SUM(C464:C465)</f>
        <v>2</v>
      </c>
      <c r="D466" s="73">
        <f t="shared" si="160"/>
        <v>0</v>
      </c>
      <c r="E466" s="73">
        <f t="shared" si="160"/>
        <v>0</v>
      </c>
      <c r="F466" s="74">
        <f t="shared" si="160"/>
        <v>0</v>
      </c>
      <c r="G466" s="73">
        <f t="shared" si="160"/>
        <v>2</v>
      </c>
      <c r="H466" s="73">
        <f t="shared" si="160"/>
        <v>0</v>
      </c>
    </row>
    <row r="467" spans="1:8" x14ac:dyDescent="0.25">
      <c r="A467" s="124"/>
      <c r="B467" s="33" t="s">
        <v>82</v>
      </c>
      <c r="C467" s="68"/>
      <c r="D467" s="68"/>
      <c r="E467" s="68"/>
      <c r="F467" s="71"/>
      <c r="G467" s="60"/>
      <c r="H467" s="61"/>
    </row>
    <row r="468" spans="1:8" x14ac:dyDescent="0.25">
      <c r="A468" s="124">
        <v>1</v>
      </c>
      <c r="B468" s="76" t="s">
        <v>83</v>
      </c>
      <c r="C468" s="68">
        <v>1</v>
      </c>
      <c r="D468" s="68">
        <f>C468-G468-H468</f>
        <v>0</v>
      </c>
      <c r="E468" s="66">
        <f>D468-F468</f>
        <v>0</v>
      </c>
      <c r="F468" s="71"/>
      <c r="G468" s="102">
        <v>1</v>
      </c>
      <c r="H468" s="68"/>
    </row>
    <row r="469" spans="1:8" x14ac:dyDescent="0.25">
      <c r="A469" s="61">
        <v>3</v>
      </c>
      <c r="B469" s="126" t="s">
        <v>577</v>
      </c>
      <c r="C469" s="68">
        <f>2-0.75+0.25+0.5-1</f>
        <v>1</v>
      </c>
      <c r="D469" s="68">
        <f>C469-G469-H469</f>
        <v>0</v>
      </c>
      <c r="E469" s="66">
        <f>D469-F469</f>
        <v>0</v>
      </c>
      <c r="F469" s="71"/>
      <c r="G469" s="102">
        <f>2-0.75+0.25-0.5</f>
        <v>1</v>
      </c>
      <c r="H469" s="68">
        <f>0.5-0.5</f>
        <v>0</v>
      </c>
    </row>
    <row r="470" spans="1:8" x14ac:dyDescent="0.25">
      <c r="A470" s="124">
        <v>4</v>
      </c>
      <c r="B470" s="76" t="s">
        <v>45</v>
      </c>
      <c r="C470" s="68">
        <v>1</v>
      </c>
      <c r="D470" s="68">
        <f>C470-G470-H470</f>
        <v>0</v>
      </c>
      <c r="E470" s="66">
        <f>D470-F470</f>
        <v>0</v>
      </c>
      <c r="F470" s="71"/>
      <c r="G470" s="102">
        <v>1</v>
      </c>
      <c r="H470" s="68"/>
    </row>
    <row r="471" spans="1:8" x14ac:dyDescent="0.25">
      <c r="A471" s="124"/>
      <c r="B471" s="72" t="s">
        <v>54</v>
      </c>
      <c r="C471" s="73">
        <f t="shared" ref="C471:H471" si="161">SUM(C468:C470)</f>
        <v>3</v>
      </c>
      <c r="D471" s="73">
        <f t="shared" si="161"/>
        <v>0</v>
      </c>
      <c r="E471" s="73">
        <f t="shared" si="161"/>
        <v>0</v>
      </c>
      <c r="F471" s="74">
        <f t="shared" si="161"/>
        <v>0</v>
      </c>
      <c r="G471" s="73">
        <f t="shared" si="161"/>
        <v>3</v>
      </c>
      <c r="H471" s="73">
        <f t="shared" si="161"/>
        <v>0</v>
      </c>
    </row>
    <row r="472" spans="1:8" x14ac:dyDescent="0.25">
      <c r="A472" s="124"/>
      <c r="B472" s="33" t="s">
        <v>565</v>
      </c>
      <c r="C472" s="73"/>
      <c r="D472" s="73"/>
      <c r="E472" s="73"/>
      <c r="F472" s="74"/>
      <c r="G472" s="73"/>
      <c r="H472" s="73"/>
    </row>
    <row r="473" spans="1:8" x14ac:dyDescent="0.25">
      <c r="A473" s="124"/>
      <c r="B473" s="76" t="s">
        <v>159</v>
      </c>
      <c r="C473" s="68">
        <f>0.25+0.75-0.75+0.25+0.25+0.25</f>
        <v>1</v>
      </c>
      <c r="D473" s="68">
        <f>C473-G473-H473</f>
        <v>0</v>
      </c>
      <c r="E473" s="66">
        <f>D473-F473</f>
        <v>0</v>
      </c>
      <c r="F473" s="71"/>
      <c r="G473" s="102">
        <f>1-0.75+0.25</f>
        <v>0.5</v>
      </c>
      <c r="H473" s="68">
        <f>0.25+0.25</f>
        <v>0.5</v>
      </c>
    </row>
    <row r="474" spans="1:8" x14ac:dyDescent="0.25">
      <c r="A474" s="124"/>
      <c r="B474" s="126" t="s">
        <v>577</v>
      </c>
      <c r="C474" s="68">
        <f>0.25+0.75-0.75+0.25+0.25+0.25</f>
        <v>1</v>
      </c>
      <c r="D474" s="68">
        <f>C474-G474-H474</f>
        <v>0</v>
      </c>
      <c r="E474" s="66">
        <f>D474-F474</f>
        <v>0</v>
      </c>
      <c r="F474" s="71"/>
      <c r="G474" s="102">
        <f>1-0.75+0.25</f>
        <v>0.5</v>
      </c>
      <c r="H474" s="68">
        <f>0.25+0.25</f>
        <v>0.5</v>
      </c>
    </row>
    <row r="475" spans="1:8" x14ac:dyDescent="0.25">
      <c r="A475" s="124"/>
      <c r="B475" s="72" t="s">
        <v>54</v>
      </c>
      <c r="C475" s="73">
        <f t="shared" ref="C475:H475" si="162">SUM(C473:C474)</f>
        <v>2</v>
      </c>
      <c r="D475" s="73">
        <f t="shared" si="162"/>
        <v>0</v>
      </c>
      <c r="E475" s="73">
        <f t="shared" si="162"/>
        <v>0</v>
      </c>
      <c r="F475" s="74">
        <f t="shared" si="162"/>
        <v>0</v>
      </c>
      <c r="G475" s="73">
        <f t="shared" si="162"/>
        <v>1</v>
      </c>
      <c r="H475" s="73">
        <f t="shared" si="162"/>
        <v>1</v>
      </c>
    </row>
    <row r="476" spans="1:8" x14ac:dyDescent="0.25">
      <c r="A476" s="124"/>
      <c r="B476" s="72"/>
      <c r="C476" s="73"/>
      <c r="D476" s="73"/>
      <c r="E476" s="73"/>
      <c r="F476" s="74"/>
      <c r="G476" s="73"/>
      <c r="H476" s="73"/>
    </row>
    <row r="477" spans="1:8" x14ac:dyDescent="0.25">
      <c r="A477" s="124"/>
      <c r="B477" s="33" t="s">
        <v>67</v>
      </c>
      <c r="C477" s="91"/>
      <c r="D477" s="91"/>
      <c r="E477" s="91"/>
      <c r="F477" s="92"/>
      <c r="G477" s="60"/>
      <c r="H477" s="61"/>
    </row>
    <row r="478" spans="1:8" x14ac:dyDescent="0.25">
      <c r="A478" s="61">
        <v>1</v>
      </c>
      <c r="B478" s="76" t="s">
        <v>68</v>
      </c>
      <c r="C478" s="68">
        <f>0.75-0.25+0.5</f>
        <v>1</v>
      </c>
      <c r="D478" s="68">
        <f>C478-G478-H478</f>
        <v>0</v>
      </c>
      <c r="E478" s="66">
        <f>D478-F478</f>
        <v>0</v>
      </c>
      <c r="F478" s="71"/>
      <c r="G478" s="102">
        <f>0.5+0.5</f>
        <v>1</v>
      </c>
      <c r="H478" s="68"/>
    </row>
    <row r="479" spans="1:8" x14ac:dyDescent="0.25">
      <c r="A479" s="61">
        <v>2</v>
      </c>
      <c r="B479" s="126" t="s">
        <v>64</v>
      </c>
      <c r="C479" s="68">
        <f>0.5+0.5</f>
        <v>1</v>
      </c>
      <c r="D479" s="68">
        <f>C479-G479-H479</f>
        <v>0</v>
      </c>
      <c r="E479" s="66">
        <f>D479-F479</f>
        <v>0</v>
      </c>
      <c r="F479" s="71"/>
      <c r="G479" s="102">
        <f>0.5+0.5</f>
        <v>1</v>
      </c>
      <c r="H479" s="68"/>
    </row>
    <row r="480" spans="1:8" x14ac:dyDescent="0.25">
      <c r="A480" s="61"/>
      <c r="B480" s="106" t="s">
        <v>20</v>
      </c>
      <c r="C480" s="73">
        <f t="shared" ref="C480:H480" si="163">SUM(C478:C479)</f>
        <v>2</v>
      </c>
      <c r="D480" s="73">
        <f t="shared" si="163"/>
        <v>0</v>
      </c>
      <c r="E480" s="73">
        <f t="shared" si="163"/>
        <v>0</v>
      </c>
      <c r="F480" s="74">
        <f t="shared" si="163"/>
        <v>0</v>
      </c>
      <c r="G480" s="73">
        <f t="shared" si="163"/>
        <v>2</v>
      </c>
      <c r="H480" s="73">
        <f t="shared" si="163"/>
        <v>0</v>
      </c>
    </row>
    <row r="481" spans="1:8" x14ac:dyDescent="0.25">
      <c r="A481" s="61"/>
      <c r="B481" s="33" t="s">
        <v>84</v>
      </c>
      <c r="C481" s="68"/>
      <c r="D481" s="68"/>
      <c r="E481" s="68"/>
      <c r="F481" s="71"/>
      <c r="G481" s="60"/>
      <c r="H481" s="61"/>
    </row>
    <row r="482" spans="1:8" x14ac:dyDescent="0.25">
      <c r="A482" s="61">
        <v>1</v>
      </c>
      <c r="B482" s="76" t="s">
        <v>85</v>
      </c>
      <c r="C482" s="68">
        <v>1</v>
      </c>
      <c r="D482" s="68">
        <f>C482-G482-H482</f>
        <v>0</v>
      </c>
      <c r="E482" s="66">
        <f>D482-F482</f>
        <v>0</v>
      </c>
      <c r="F482" s="71"/>
      <c r="G482" s="102">
        <v>1</v>
      </c>
      <c r="H482" s="68"/>
    </row>
    <row r="483" spans="1:8" x14ac:dyDescent="0.25">
      <c r="A483" s="61">
        <v>2</v>
      </c>
      <c r="B483" s="76" t="s">
        <v>86</v>
      </c>
      <c r="C483" s="68">
        <v>1</v>
      </c>
      <c r="D483" s="68">
        <f>C483-G483-H483</f>
        <v>0</v>
      </c>
      <c r="E483" s="66">
        <f>D483-F483</f>
        <v>0</v>
      </c>
      <c r="F483" s="71"/>
      <c r="G483" s="102">
        <v>1</v>
      </c>
      <c r="H483" s="68"/>
    </row>
    <row r="484" spans="1:8" x14ac:dyDescent="0.25">
      <c r="A484" s="61">
        <v>3</v>
      </c>
      <c r="B484" s="76" t="s">
        <v>45</v>
      </c>
      <c r="C484" s="68">
        <v>1</v>
      </c>
      <c r="D484" s="68">
        <f>C484-G484-H484</f>
        <v>0</v>
      </c>
      <c r="E484" s="66">
        <f>D484-F484</f>
        <v>0</v>
      </c>
      <c r="F484" s="71"/>
      <c r="G484" s="102">
        <v>1</v>
      </c>
      <c r="H484" s="68"/>
    </row>
    <row r="485" spans="1:8" x14ac:dyDescent="0.25">
      <c r="A485" s="61"/>
      <c r="B485" s="72" t="s">
        <v>57</v>
      </c>
      <c r="C485" s="73">
        <f t="shared" ref="C485:H485" si="164">SUM(C482:C484)</f>
        <v>3</v>
      </c>
      <c r="D485" s="73">
        <f t="shared" si="164"/>
        <v>0</v>
      </c>
      <c r="E485" s="73">
        <f t="shared" si="164"/>
        <v>0</v>
      </c>
      <c r="F485" s="74">
        <f t="shared" si="164"/>
        <v>0</v>
      </c>
      <c r="G485" s="73">
        <f t="shared" si="164"/>
        <v>3</v>
      </c>
      <c r="H485" s="73">
        <f t="shared" si="164"/>
        <v>0</v>
      </c>
    </row>
    <row r="486" spans="1:8" x14ac:dyDescent="0.25">
      <c r="A486" s="61"/>
      <c r="B486" s="33" t="s">
        <v>87</v>
      </c>
      <c r="C486" s="68"/>
      <c r="D486" s="68"/>
      <c r="E486" s="68"/>
      <c r="F486" s="71"/>
      <c r="G486" s="60"/>
      <c r="H486" s="61"/>
    </row>
    <row r="487" spans="1:8" x14ac:dyDescent="0.25">
      <c r="A487" s="61">
        <v>1</v>
      </c>
      <c r="B487" s="76" t="s">
        <v>88</v>
      </c>
      <c r="C487" s="68">
        <v>1</v>
      </c>
      <c r="D487" s="68">
        <f>C487-G487-H487</f>
        <v>0</v>
      </c>
      <c r="E487" s="66">
        <f>D487-F487</f>
        <v>0</v>
      </c>
      <c r="F487" s="71"/>
      <c r="G487" s="102">
        <v>1</v>
      </c>
      <c r="H487" s="68"/>
    </row>
    <row r="488" spans="1:8" x14ac:dyDescent="0.25">
      <c r="A488" s="61">
        <v>2</v>
      </c>
      <c r="B488" s="76" t="s">
        <v>64</v>
      </c>
      <c r="C488" s="68">
        <v>1</v>
      </c>
      <c r="D488" s="68">
        <f>C488-G488-H488</f>
        <v>0</v>
      </c>
      <c r="E488" s="66">
        <f>D488-F488</f>
        <v>0</v>
      </c>
      <c r="F488" s="71"/>
      <c r="G488" s="102">
        <v>1</v>
      </c>
      <c r="H488" s="68"/>
    </row>
    <row r="489" spans="1:8" x14ac:dyDescent="0.25">
      <c r="A489" s="61"/>
      <c r="B489" s="72" t="s">
        <v>57</v>
      </c>
      <c r="C489" s="73">
        <f t="shared" ref="C489:H489" si="165">SUM(C487:C488)</f>
        <v>2</v>
      </c>
      <c r="D489" s="73">
        <f t="shared" si="165"/>
        <v>0</v>
      </c>
      <c r="E489" s="73">
        <f t="shared" si="165"/>
        <v>0</v>
      </c>
      <c r="F489" s="74">
        <f t="shared" si="165"/>
        <v>0</v>
      </c>
      <c r="G489" s="73">
        <f t="shared" si="165"/>
        <v>2</v>
      </c>
      <c r="H489" s="73">
        <f t="shared" si="165"/>
        <v>0</v>
      </c>
    </row>
    <row r="490" spans="1:8" x14ac:dyDescent="0.25">
      <c r="A490" s="61"/>
      <c r="B490" s="33" t="s">
        <v>89</v>
      </c>
      <c r="C490" s="68"/>
      <c r="D490" s="68"/>
      <c r="E490" s="68"/>
      <c r="F490" s="71"/>
      <c r="G490" s="60"/>
      <c r="H490" s="61"/>
    </row>
    <row r="491" spans="1:8" x14ac:dyDescent="0.25">
      <c r="A491" s="61">
        <v>1</v>
      </c>
      <c r="B491" s="76" t="s">
        <v>90</v>
      </c>
      <c r="C491" s="68">
        <v>1</v>
      </c>
      <c r="D491" s="68">
        <f>C491-G491-H491</f>
        <v>0</v>
      </c>
      <c r="E491" s="66">
        <f>D491-F491</f>
        <v>0</v>
      </c>
      <c r="F491" s="71"/>
      <c r="G491" s="102">
        <v>1</v>
      </c>
      <c r="H491" s="68"/>
    </row>
    <row r="492" spans="1:8" x14ac:dyDescent="0.25">
      <c r="A492" s="61">
        <v>2</v>
      </c>
      <c r="B492" s="76" t="s">
        <v>64</v>
      </c>
      <c r="C492" s="68">
        <v>1</v>
      </c>
      <c r="D492" s="68">
        <f>C492-G492-H492</f>
        <v>0</v>
      </c>
      <c r="E492" s="66">
        <f>D492-F492</f>
        <v>0</v>
      </c>
      <c r="F492" s="71"/>
      <c r="G492" s="102">
        <v>1</v>
      </c>
      <c r="H492" s="68"/>
    </row>
    <row r="493" spans="1:8" x14ac:dyDescent="0.25">
      <c r="A493" s="61"/>
      <c r="B493" s="72" t="s">
        <v>57</v>
      </c>
      <c r="C493" s="73">
        <f t="shared" ref="C493:H493" si="166">SUM(C491:C492)</f>
        <v>2</v>
      </c>
      <c r="D493" s="73">
        <f t="shared" si="166"/>
        <v>0</v>
      </c>
      <c r="E493" s="73">
        <f t="shared" si="166"/>
        <v>0</v>
      </c>
      <c r="F493" s="74">
        <f t="shared" si="166"/>
        <v>0</v>
      </c>
      <c r="G493" s="73">
        <f t="shared" si="166"/>
        <v>2</v>
      </c>
      <c r="H493" s="73">
        <f t="shared" si="166"/>
        <v>0</v>
      </c>
    </row>
    <row r="494" spans="1:8" x14ac:dyDescent="0.25">
      <c r="A494" s="61"/>
      <c r="B494" s="72"/>
      <c r="C494" s="73"/>
      <c r="D494" s="73"/>
      <c r="E494" s="73"/>
      <c r="F494" s="74"/>
      <c r="G494" s="73"/>
      <c r="H494" s="73"/>
    </row>
    <row r="495" spans="1:8" x14ac:dyDescent="0.25">
      <c r="A495" s="61"/>
      <c r="B495" s="33" t="s">
        <v>91</v>
      </c>
      <c r="C495" s="68"/>
      <c r="D495" s="68"/>
      <c r="E495" s="68"/>
      <c r="F495" s="71"/>
      <c r="G495" s="60"/>
      <c r="H495" s="61"/>
    </row>
    <row r="496" spans="1:8" x14ac:dyDescent="0.25">
      <c r="A496" s="61">
        <v>1</v>
      </c>
      <c r="B496" s="76" t="s">
        <v>92</v>
      </c>
      <c r="C496" s="68">
        <f>1+0.5+0.5-1+0.5</f>
        <v>1.5</v>
      </c>
      <c r="D496" s="68">
        <f>C496-G496-H496</f>
        <v>0</v>
      </c>
      <c r="E496" s="66">
        <f>D496-F496</f>
        <v>0</v>
      </c>
      <c r="F496" s="71"/>
      <c r="G496" s="102">
        <f>2-1+0.5</f>
        <v>1.5</v>
      </c>
      <c r="H496" s="68"/>
    </row>
    <row r="497" spans="1:8" x14ac:dyDescent="0.25">
      <c r="A497" s="61">
        <v>2</v>
      </c>
      <c r="B497" s="76" t="s">
        <v>64</v>
      </c>
      <c r="C497" s="68">
        <v>1</v>
      </c>
      <c r="D497" s="68">
        <f>C497-G497-H497</f>
        <v>0</v>
      </c>
      <c r="E497" s="66">
        <f>D497-F497</f>
        <v>0</v>
      </c>
      <c r="F497" s="71"/>
      <c r="G497" s="102">
        <v>1</v>
      </c>
      <c r="H497" s="68"/>
    </row>
    <row r="498" spans="1:8" x14ac:dyDescent="0.25">
      <c r="A498" s="61"/>
      <c r="B498" s="72" t="s">
        <v>57</v>
      </c>
      <c r="C498" s="73">
        <f t="shared" ref="C498:H498" si="167">SUM(C496:C497)</f>
        <v>2.5</v>
      </c>
      <c r="D498" s="73">
        <f t="shared" si="167"/>
        <v>0</v>
      </c>
      <c r="E498" s="73">
        <f t="shared" si="167"/>
        <v>0</v>
      </c>
      <c r="F498" s="74">
        <f t="shared" si="167"/>
        <v>0</v>
      </c>
      <c r="G498" s="73">
        <f t="shared" si="167"/>
        <v>2.5</v>
      </c>
      <c r="H498" s="73">
        <f t="shared" si="167"/>
        <v>0</v>
      </c>
    </row>
    <row r="499" spans="1:8" x14ac:dyDescent="0.25">
      <c r="A499" s="61"/>
      <c r="B499" s="33" t="s">
        <v>58</v>
      </c>
      <c r="C499" s="73"/>
      <c r="D499" s="73"/>
      <c r="E499" s="73"/>
      <c r="F499" s="74"/>
      <c r="G499" s="60"/>
      <c r="H499" s="61"/>
    </row>
    <row r="500" spans="1:8" x14ac:dyDescent="0.25">
      <c r="A500" s="61">
        <v>1</v>
      </c>
      <c r="B500" s="76" t="s">
        <v>59</v>
      </c>
      <c r="C500" s="66">
        <f>0.25+0.25</f>
        <v>0.5</v>
      </c>
      <c r="D500" s="66">
        <f>C500-G500-H500</f>
        <v>0</v>
      </c>
      <c r="E500" s="66">
        <f>D500-F500</f>
        <v>0</v>
      </c>
      <c r="F500" s="67"/>
      <c r="G500" s="60">
        <v>0.25</v>
      </c>
      <c r="H500" s="68">
        <v>0.25</v>
      </c>
    </row>
    <row r="501" spans="1:8" x14ac:dyDescent="0.25">
      <c r="A501" s="61"/>
      <c r="B501" s="72" t="s">
        <v>57</v>
      </c>
      <c r="C501" s="73">
        <f t="shared" ref="C501:H501" si="168">C500</f>
        <v>0.5</v>
      </c>
      <c r="D501" s="73">
        <f t="shared" si="168"/>
        <v>0</v>
      </c>
      <c r="E501" s="73">
        <f t="shared" si="168"/>
        <v>0</v>
      </c>
      <c r="F501" s="74">
        <f t="shared" si="168"/>
        <v>0</v>
      </c>
      <c r="G501" s="73">
        <f t="shared" si="168"/>
        <v>0.25</v>
      </c>
      <c r="H501" s="73">
        <f t="shared" si="168"/>
        <v>0.25</v>
      </c>
    </row>
    <row r="502" spans="1:8" x14ac:dyDescent="0.25">
      <c r="A502" s="61"/>
      <c r="B502" s="60"/>
      <c r="C502" s="60"/>
      <c r="D502" s="60"/>
      <c r="E502" s="60"/>
      <c r="F502" s="119"/>
      <c r="G502" s="60"/>
      <c r="H502" s="61"/>
    </row>
    <row r="503" spans="1:8" x14ac:dyDescent="0.25">
      <c r="A503" s="203" t="s">
        <v>71</v>
      </c>
      <c r="B503" s="204"/>
      <c r="C503" s="121">
        <f t="shared" ref="C503:H503" si="169">C445+C451+C455+C459+C462+C466+C471+C475+C480+C485+C489+C493+C498+C501</f>
        <v>32.5</v>
      </c>
      <c r="D503" s="121">
        <f t="shared" si="169"/>
        <v>0</v>
      </c>
      <c r="E503" s="121">
        <f t="shared" si="169"/>
        <v>0</v>
      </c>
      <c r="F503" s="122">
        <f t="shared" si="169"/>
        <v>0</v>
      </c>
      <c r="G503" s="121">
        <f t="shared" si="169"/>
        <v>30.5</v>
      </c>
      <c r="H503" s="121">
        <f t="shared" si="169"/>
        <v>2</v>
      </c>
    </row>
    <row r="504" spans="1:8" x14ac:dyDescent="0.25">
      <c r="A504" s="61"/>
      <c r="B504" s="130"/>
      <c r="C504" s="131">
        <f t="shared" ref="C504:H504" si="170">SUM(C505:C508)-C506</f>
        <v>32.5</v>
      </c>
      <c r="D504" s="131">
        <f t="shared" si="170"/>
        <v>0</v>
      </c>
      <c r="E504" s="131">
        <f t="shared" si="170"/>
        <v>0</v>
      </c>
      <c r="F504" s="132">
        <f t="shared" si="170"/>
        <v>0</v>
      </c>
      <c r="G504" s="131">
        <f t="shared" si="170"/>
        <v>30.5</v>
      </c>
      <c r="H504" s="131">
        <f t="shared" si="170"/>
        <v>2</v>
      </c>
    </row>
    <row r="505" spans="1:8" x14ac:dyDescent="0.25">
      <c r="A505" s="61"/>
      <c r="B505" s="133" t="s">
        <v>110</v>
      </c>
      <c r="C505" s="121">
        <f t="shared" ref="C505:H505" si="171">C447+C453+C457+C461+C464+C468+C473+C478+C482+C487+C491+C496+C500</f>
        <v>15.5</v>
      </c>
      <c r="D505" s="121">
        <f t="shared" si="171"/>
        <v>0</v>
      </c>
      <c r="E505" s="121">
        <f t="shared" si="171"/>
        <v>0</v>
      </c>
      <c r="F505" s="122">
        <f t="shared" si="171"/>
        <v>0</v>
      </c>
      <c r="G505" s="121">
        <f t="shared" si="171"/>
        <v>14</v>
      </c>
      <c r="H505" s="121">
        <f t="shared" si="171"/>
        <v>1.5</v>
      </c>
    </row>
    <row r="506" spans="1:8" x14ac:dyDescent="0.25">
      <c r="A506" s="61"/>
      <c r="B506" s="205" t="s">
        <v>111</v>
      </c>
      <c r="C506" s="206">
        <f t="shared" ref="C506:H506" si="172">C453+C457+C461+C464+C468+C473+C478+C482+C487+C491+C496+C500</f>
        <v>14</v>
      </c>
      <c r="D506" s="206">
        <f t="shared" si="172"/>
        <v>0</v>
      </c>
      <c r="E506" s="206">
        <f t="shared" si="172"/>
        <v>0</v>
      </c>
      <c r="F506" s="207">
        <f t="shared" si="172"/>
        <v>0</v>
      </c>
      <c r="G506" s="206">
        <f t="shared" si="172"/>
        <v>13</v>
      </c>
      <c r="H506" s="206">
        <f t="shared" si="172"/>
        <v>1</v>
      </c>
    </row>
    <row r="507" spans="1:8" x14ac:dyDescent="0.25">
      <c r="A507" s="61"/>
      <c r="B507" s="133" t="s">
        <v>112</v>
      </c>
      <c r="C507" s="121">
        <f t="shared" ref="C507:H507" si="173">C448+C451+C454+C458+C465+C469+C474+C479+C483+C488+C492+C497</f>
        <v>15</v>
      </c>
      <c r="D507" s="121">
        <f t="shared" si="173"/>
        <v>0</v>
      </c>
      <c r="E507" s="121">
        <f t="shared" si="173"/>
        <v>0</v>
      </c>
      <c r="F507" s="122">
        <f t="shared" si="173"/>
        <v>0</v>
      </c>
      <c r="G507" s="121">
        <f t="shared" si="173"/>
        <v>14.5</v>
      </c>
      <c r="H507" s="121">
        <f t="shared" si="173"/>
        <v>0.5</v>
      </c>
    </row>
    <row r="508" spans="1:8" x14ac:dyDescent="0.25">
      <c r="A508" s="61"/>
      <c r="B508" s="133" t="s">
        <v>113</v>
      </c>
      <c r="C508" s="121">
        <f t="shared" ref="C508:H508" si="174">C484+C470</f>
        <v>2</v>
      </c>
      <c r="D508" s="121">
        <f t="shared" si="174"/>
        <v>0</v>
      </c>
      <c r="E508" s="121">
        <f t="shared" si="174"/>
        <v>0</v>
      </c>
      <c r="F508" s="122">
        <f t="shared" si="174"/>
        <v>0</v>
      </c>
      <c r="G508" s="121">
        <f t="shared" si="174"/>
        <v>2</v>
      </c>
      <c r="H508" s="121">
        <f t="shared" si="174"/>
        <v>0</v>
      </c>
    </row>
    <row r="509" spans="1:8" x14ac:dyDescent="0.25">
      <c r="A509" s="61"/>
      <c r="B509" s="79" t="s">
        <v>148</v>
      </c>
      <c r="C509" s="60"/>
      <c r="D509" s="60"/>
      <c r="E509" s="60"/>
      <c r="F509" s="119"/>
      <c r="G509" s="60"/>
      <c r="H509" s="61"/>
    </row>
    <row r="510" spans="1:8" x14ac:dyDescent="0.25">
      <c r="A510" s="61">
        <v>1</v>
      </c>
      <c r="B510" s="86" t="s">
        <v>149</v>
      </c>
      <c r="C510" s="66">
        <v>1</v>
      </c>
      <c r="D510" s="66">
        <f t="shared" ref="D510:D518" si="175">C510-G510-H510</f>
        <v>0.75</v>
      </c>
      <c r="E510" s="66">
        <f t="shared" ref="E510:E518" si="176">D510-F510</f>
        <v>0.75</v>
      </c>
      <c r="F510" s="67"/>
      <c r="G510" s="60">
        <v>0.25</v>
      </c>
      <c r="H510" s="68"/>
    </row>
    <row r="511" spans="1:8" x14ac:dyDescent="0.25">
      <c r="A511" s="61">
        <v>2</v>
      </c>
      <c r="B511" s="86" t="s">
        <v>75</v>
      </c>
      <c r="C511" s="66">
        <v>0.5</v>
      </c>
      <c r="D511" s="66">
        <f t="shared" si="175"/>
        <v>0.5</v>
      </c>
      <c r="E511" s="66">
        <f t="shared" si="176"/>
        <v>0.5</v>
      </c>
      <c r="F511" s="67"/>
      <c r="G511" s="60"/>
      <c r="H511" s="68"/>
    </row>
    <row r="512" spans="1:8" x14ac:dyDescent="0.25">
      <c r="A512" s="61">
        <v>3</v>
      </c>
      <c r="B512" s="86" t="s">
        <v>76</v>
      </c>
      <c r="C512" s="66">
        <v>0.5</v>
      </c>
      <c r="D512" s="66">
        <f t="shared" si="175"/>
        <v>0.5</v>
      </c>
      <c r="E512" s="66">
        <f t="shared" si="176"/>
        <v>0.5</v>
      </c>
      <c r="F512" s="67"/>
      <c r="G512" s="60"/>
      <c r="H512" s="68"/>
    </row>
    <row r="513" spans="1:8" x14ac:dyDescent="0.25">
      <c r="A513" s="61">
        <v>4</v>
      </c>
      <c r="B513" s="76" t="s">
        <v>32</v>
      </c>
      <c r="C513" s="66">
        <v>1</v>
      </c>
      <c r="D513" s="66">
        <f t="shared" si="175"/>
        <v>0.5</v>
      </c>
      <c r="E513" s="66">
        <f t="shared" si="176"/>
        <v>0.5</v>
      </c>
      <c r="F513" s="67"/>
      <c r="G513" s="102">
        <f>0.25+0.25</f>
        <v>0.5</v>
      </c>
      <c r="H513" s="68"/>
    </row>
    <row r="514" spans="1:8" x14ac:dyDescent="0.25">
      <c r="A514" s="61">
        <v>5</v>
      </c>
      <c r="B514" s="76" t="s">
        <v>90</v>
      </c>
      <c r="C514" s="68">
        <f>1-0.25-0.5</f>
        <v>0.25</v>
      </c>
      <c r="D514" s="68">
        <f t="shared" si="175"/>
        <v>0.25</v>
      </c>
      <c r="E514" s="66">
        <f t="shared" si="176"/>
        <v>0.25</v>
      </c>
      <c r="F514" s="71"/>
      <c r="G514" s="102"/>
      <c r="H514" s="68"/>
    </row>
    <row r="515" spans="1:8" x14ac:dyDescent="0.25">
      <c r="A515" s="61">
        <v>6</v>
      </c>
      <c r="B515" s="76" t="s">
        <v>92</v>
      </c>
      <c r="C515" s="68">
        <v>1</v>
      </c>
      <c r="D515" s="68">
        <f t="shared" si="175"/>
        <v>0.5</v>
      </c>
      <c r="E515" s="66">
        <f t="shared" si="176"/>
        <v>0.5</v>
      </c>
      <c r="F515" s="71"/>
      <c r="G515" s="102">
        <f>0.25+0.25</f>
        <v>0.5</v>
      </c>
      <c r="H515" s="68"/>
    </row>
    <row r="516" spans="1:8" x14ac:dyDescent="0.25">
      <c r="A516" s="61">
        <v>7</v>
      </c>
      <c r="B516" s="76" t="s">
        <v>81</v>
      </c>
      <c r="C516" s="68">
        <f>0.5-0.5+1-0.25</f>
        <v>0.75</v>
      </c>
      <c r="D516" s="68">
        <f t="shared" si="175"/>
        <v>0.5</v>
      </c>
      <c r="E516" s="66">
        <f t="shared" si="176"/>
        <v>0.5</v>
      </c>
      <c r="F516" s="71"/>
      <c r="G516" s="60">
        <v>0.25</v>
      </c>
      <c r="H516" s="68"/>
    </row>
    <row r="517" spans="1:8" x14ac:dyDescent="0.25">
      <c r="A517" s="61">
        <v>8</v>
      </c>
      <c r="B517" s="76" t="s">
        <v>83</v>
      </c>
      <c r="C517" s="68">
        <v>1</v>
      </c>
      <c r="D517" s="68">
        <f t="shared" si="175"/>
        <v>0.5</v>
      </c>
      <c r="E517" s="66">
        <f t="shared" si="176"/>
        <v>0.5</v>
      </c>
      <c r="F517" s="71"/>
      <c r="G517" s="102">
        <v>0.5</v>
      </c>
      <c r="H517" s="68"/>
    </row>
    <row r="518" spans="1:8" x14ac:dyDescent="0.25">
      <c r="A518" s="61">
        <v>9</v>
      </c>
      <c r="B518" s="76" t="s">
        <v>85</v>
      </c>
      <c r="C518" s="68">
        <v>1</v>
      </c>
      <c r="D518" s="68">
        <f t="shared" si="175"/>
        <v>0.5</v>
      </c>
      <c r="E518" s="66">
        <f t="shared" si="176"/>
        <v>0.5</v>
      </c>
      <c r="F518" s="71"/>
      <c r="G518" s="102">
        <v>0.5</v>
      </c>
      <c r="H518" s="68"/>
    </row>
    <row r="519" spans="1:8" x14ac:dyDescent="0.25">
      <c r="A519" s="61"/>
      <c r="B519" s="174" t="s">
        <v>289</v>
      </c>
      <c r="C519" s="121">
        <f t="shared" ref="C519:H519" si="177">SUM(C510:C518)</f>
        <v>7</v>
      </c>
      <c r="D519" s="121">
        <f t="shared" si="177"/>
        <v>4.5</v>
      </c>
      <c r="E519" s="121">
        <f t="shared" si="177"/>
        <v>4.5</v>
      </c>
      <c r="F519" s="122">
        <f t="shared" si="177"/>
        <v>0</v>
      </c>
      <c r="G519" s="121">
        <f t="shared" si="177"/>
        <v>2.5</v>
      </c>
      <c r="H519" s="121">
        <f t="shared" si="177"/>
        <v>0</v>
      </c>
    </row>
    <row r="520" spans="1:8" x14ac:dyDescent="0.25">
      <c r="A520" s="61">
        <v>10</v>
      </c>
      <c r="B520" s="86" t="s">
        <v>53</v>
      </c>
      <c r="C520" s="66">
        <v>1</v>
      </c>
      <c r="D520" s="66">
        <f>C520-G520-H520</f>
        <v>0.5</v>
      </c>
      <c r="E520" s="66">
        <f>D520-F520</f>
        <v>0.5</v>
      </c>
      <c r="F520" s="67"/>
      <c r="G520" s="102">
        <f>0.25+0.25</f>
        <v>0.5</v>
      </c>
      <c r="H520" s="68"/>
    </row>
    <row r="521" spans="1:8" x14ac:dyDescent="0.25">
      <c r="A521" s="61">
        <v>11</v>
      </c>
      <c r="B521" s="76" t="s">
        <v>64</v>
      </c>
      <c r="C521" s="66">
        <f>1+4.25</f>
        <v>5.25</v>
      </c>
      <c r="D521" s="66">
        <f>C521-G521-H521</f>
        <v>2.75</v>
      </c>
      <c r="E521" s="66">
        <f>D521-F521</f>
        <v>2.75</v>
      </c>
      <c r="F521" s="67"/>
      <c r="G521" s="102">
        <f>0.75+1.75</f>
        <v>2.5</v>
      </c>
      <c r="H521" s="68"/>
    </row>
    <row r="522" spans="1:8" x14ac:dyDescent="0.25">
      <c r="A522" s="61">
        <v>12</v>
      </c>
      <c r="B522" s="76" t="s">
        <v>86</v>
      </c>
      <c r="C522" s="68">
        <v>1</v>
      </c>
      <c r="D522" s="68">
        <f>C522-G522-H522</f>
        <v>0.5</v>
      </c>
      <c r="E522" s="66">
        <f>D522-F522</f>
        <v>0.5</v>
      </c>
      <c r="F522" s="71"/>
      <c r="G522" s="102">
        <f>0.25+0.25</f>
        <v>0.5</v>
      </c>
      <c r="H522" s="68"/>
    </row>
    <row r="523" spans="1:8" x14ac:dyDescent="0.25">
      <c r="A523" s="61"/>
      <c r="B523" s="175" t="s">
        <v>501</v>
      </c>
      <c r="C523" s="128">
        <f t="shared" ref="C523:H523" si="178">SUM(C520:C522)</f>
        <v>7.25</v>
      </c>
      <c r="D523" s="128">
        <f t="shared" si="178"/>
        <v>3.75</v>
      </c>
      <c r="E523" s="128">
        <f t="shared" si="178"/>
        <v>3.75</v>
      </c>
      <c r="F523" s="176">
        <f t="shared" si="178"/>
        <v>0</v>
      </c>
      <c r="G523" s="128">
        <f t="shared" si="178"/>
        <v>3.5</v>
      </c>
      <c r="H523" s="128">
        <f t="shared" si="178"/>
        <v>0</v>
      </c>
    </row>
    <row r="524" spans="1:8" ht="29.25" x14ac:dyDescent="0.25">
      <c r="A524" s="61"/>
      <c r="B524" s="129" t="s">
        <v>150</v>
      </c>
      <c r="C524" s="121">
        <f t="shared" ref="C524:H524" si="179">C519+C523</f>
        <v>14.25</v>
      </c>
      <c r="D524" s="121">
        <f t="shared" si="179"/>
        <v>8.25</v>
      </c>
      <c r="E524" s="121">
        <f t="shared" si="179"/>
        <v>8.25</v>
      </c>
      <c r="F524" s="122">
        <f t="shared" si="179"/>
        <v>0</v>
      </c>
      <c r="G524" s="121">
        <f t="shared" si="179"/>
        <v>6</v>
      </c>
      <c r="H524" s="121">
        <f t="shared" si="179"/>
        <v>0</v>
      </c>
    </row>
    <row r="525" spans="1:8" x14ac:dyDescent="0.25">
      <c r="A525" s="61"/>
      <c r="B525" s="129"/>
      <c r="C525" s="83">
        <f t="shared" ref="C525:H525" si="180">SUM(C526:C527)</f>
        <v>14.25</v>
      </c>
      <c r="D525" s="83">
        <f t="shared" si="180"/>
        <v>8.25</v>
      </c>
      <c r="E525" s="83">
        <f t="shared" si="180"/>
        <v>8.25</v>
      </c>
      <c r="F525" s="84">
        <f t="shared" si="180"/>
        <v>0</v>
      </c>
      <c r="G525" s="83">
        <f t="shared" si="180"/>
        <v>6</v>
      </c>
      <c r="H525" s="83">
        <f t="shared" si="180"/>
        <v>0</v>
      </c>
    </row>
    <row r="526" spans="1:8" x14ac:dyDescent="0.25">
      <c r="A526" s="61"/>
      <c r="B526" s="133" t="s">
        <v>110</v>
      </c>
      <c r="C526" s="73">
        <f t="shared" ref="C526:H526" si="181">C519</f>
        <v>7</v>
      </c>
      <c r="D526" s="73">
        <f t="shared" si="181"/>
        <v>4.5</v>
      </c>
      <c r="E526" s="73">
        <f t="shared" si="181"/>
        <v>4.5</v>
      </c>
      <c r="F526" s="74">
        <f t="shared" si="181"/>
        <v>0</v>
      </c>
      <c r="G526" s="73">
        <f t="shared" si="181"/>
        <v>2.5</v>
      </c>
      <c r="H526" s="73">
        <f t="shared" si="181"/>
        <v>0</v>
      </c>
    </row>
    <row r="527" spans="1:8" x14ac:dyDescent="0.25">
      <c r="A527" s="61"/>
      <c r="B527" s="133" t="s">
        <v>112</v>
      </c>
      <c r="C527" s="128">
        <f t="shared" ref="C527:H527" si="182">C523</f>
        <v>7.25</v>
      </c>
      <c r="D527" s="128">
        <f t="shared" si="182"/>
        <v>3.75</v>
      </c>
      <c r="E527" s="128">
        <f t="shared" si="182"/>
        <v>3.75</v>
      </c>
      <c r="F527" s="176">
        <f t="shared" si="182"/>
        <v>0</v>
      </c>
      <c r="G527" s="128">
        <f t="shared" si="182"/>
        <v>3.5</v>
      </c>
      <c r="H527" s="128">
        <f t="shared" si="182"/>
        <v>0</v>
      </c>
    </row>
    <row r="528" spans="1:8" x14ac:dyDescent="0.25">
      <c r="A528" s="61"/>
      <c r="B528" s="163" t="s">
        <v>525</v>
      </c>
      <c r="C528" s="128"/>
      <c r="D528" s="128"/>
      <c r="E528" s="128"/>
      <c r="F528" s="176"/>
      <c r="G528" s="128"/>
      <c r="H528" s="128"/>
    </row>
    <row r="529" spans="1:9" ht="26.25" x14ac:dyDescent="0.25">
      <c r="A529" s="61">
        <v>1</v>
      </c>
      <c r="B529" s="103" t="s">
        <v>526</v>
      </c>
      <c r="C529" s="66">
        <v>1</v>
      </c>
      <c r="D529" s="66"/>
      <c r="E529" s="66">
        <f>D529-F529</f>
        <v>0</v>
      </c>
      <c r="F529" s="67"/>
      <c r="G529" s="66"/>
      <c r="H529" s="66">
        <v>1</v>
      </c>
    </row>
    <row r="530" spans="1:9" x14ac:dyDescent="0.25">
      <c r="A530" s="61">
        <v>2</v>
      </c>
      <c r="B530" s="86" t="s">
        <v>527</v>
      </c>
      <c r="C530" s="66">
        <v>2</v>
      </c>
      <c r="D530" s="66"/>
      <c r="E530" s="66">
        <f>D530-F530</f>
        <v>0</v>
      </c>
      <c r="F530" s="67"/>
      <c r="G530" s="66"/>
      <c r="H530" s="66">
        <v>2</v>
      </c>
    </row>
    <row r="531" spans="1:9" x14ac:dyDescent="0.25">
      <c r="A531" s="61">
        <v>3</v>
      </c>
      <c r="B531" s="76" t="s">
        <v>64</v>
      </c>
      <c r="C531" s="66">
        <v>2</v>
      </c>
      <c r="D531" s="66"/>
      <c r="E531" s="66">
        <f>D531-F531</f>
        <v>0</v>
      </c>
      <c r="F531" s="67"/>
      <c r="G531" s="66"/>
      <c r="H531" s="66">
        <v>2</v>
      </c>
    </row>
    <row r="532" spans="1:9" x14ac:dyDescent="0.25">
      <c r="A532" s="61"/>
      <c r="B532" s="72" t="s">
        <v>57</v>
      </c>
      <c r="C532" s="73">
        <f t="shared" ref="C532:H532" si="183">SUM(C528:C531)</f>
        <v>5</v>
      </c>
      <c r="D532" s="73">
        <f t="shared" si="183"/>
        <v>0</v>
      </c>
      <c r="E532" s="73">
        <f t="shared" si="183"/>
        <v>0</v>
      </c>
      <c r="F532" s="74">
        <f t="shared" si="183"/>
        <v>0</v>
      </c>
      <c r="G532" s="73">
        <f t="shared" si="183"/>
        <v>0</v>
      </c>
      <c r="H532" s="73">
        <f t="shared" si="183"/>
        <v>5</v>
      </c>
    </row>
    <row r="533" spans="1:9" x14ac:dyDescent="0.25">
      <c r="A533" s="61"/>
      <c r="B533" s="166" t="s">
        <v>155</v>
      </c>
      <c r="C533" s="68"/>
      <c r="D533" s="68"/>
      <c r="E533" s="68"/>
      <c r="F533" s="71"/>
      <c r="G533" s="60"/>
      <c r="H533" s="61"/>
    </row>
    <row r="534" spans="1:9" x14ac:dyDescent="0.25">
      <c r="A534" s="61">
        <v>1</v>
      </c>
      <c r="B534" s="201" t="s">
        <v>32</v>
      </c>
      <c r="C534" s="68">
        <v>0.5</v>
      </c>
      <c r="D534" s="68">
        <f>C534-G534-H534</f>
        <v>0</v>
      </c>
      <c r="E534" s="66">
        <f>D534-F534</f>
        <v>0</v>
      </c>
      <c r="F534" s="71"/>
      <c r="G534" s="102">
        <v>0.5</v>
      </c>
      <c r="H534" s="68"/>
    </row>
    <row r="535" spans="1:9" x14ac:dyDescent="0.25">
      <c r="A535" s="61">
        <v>2</v>
      </c>
      <c r="B535" s="76" t="s">
        <v>94</v>
      </c>
      <c r="C535" s="68">
        <f>0.5+0.5</f>
        <v>1</v>
      </c>
      <c r="D535" s="68">
        <f>C535-G535-H535</f>
        <v>0</v>
      </c>
      <c r="E535" s="66">
        <f>D535-F535</f>
        <v>0</v>
      </c>
      <c r="F535" s="71"/>
      <c r="G535" s="102">
        <f>0.5+0.5</f>
        <v>1</v>
      </c>
      <c r="H535" s="68"/>
    </row>
    <row r="536" spans="1:9" x14ac:dyDescent="0.25">
      <c r="A536" s="61">
        <v>3</v>
      </c>
      <c r="B536" s="76" t="s">
        <v>45</v>
      </c>
      <c r="C536" s="66">
        <v>0.5</v>
      </c>
      <c r="D536" s="68">
        <f>C536-G536-H536</f>
        <v>0</v>
      </c>
      <c r="E536" s="66">
        <f>D536-F536</f>
        <v>0</v>
      </c>
      <c r="F536" s="71"/>
      <c r="G536" s="102">
        <v>0.5</v>
      </c>
      <c r="H536" s="68"/>
    </row>
    <row r="537" spans="1:9" x14ac:dyDescent="0.25">
      <c r="A537" s="61"/>
      <c r="B537" s="72" t="s">
        <v>57</v>
      </c>
      <c r="C537" s="77">
        <f t="shared" ref="C537:H537" si="184">SUM(C534:C536)</f>
        <v>2</v>
      </c>
      <c r="D537" s="77">
        <f t="shared" si="184"/>
        <v>0</v>
      </c>
      <c r="E537" s="77">
        <f t="shared" si="184"/>
        <v>0</v>
      </c>
      <c r="F537" s="78">
        <f t="shared" si="184"/>
        <v>0</v>
      </c>
      <c r="G537" s="77">
        <f t="shared" si="184"/>
        <v>2</v>
      </c>
      <c r="H537" s="77">
        <f t="shared" si="184"/>
        <v>0</v>
      </c>
    </row>
    <row r="538" spans="1:9" x14ac:dyDescent="0.25">
      <c r="A538" s="61"/>
      <c r="B538" s="33" t="s">
        <v>93</v>
      </c>
      <c r="C538" s="68"/>
      <c r="D538" s="68"/>
      <c r="E538" s="68"/>
      <c r="F538" s="71"/>
      <c r="G538" s="60"/>
      <c r="H538" s="61"/>
    </row>
    <row r="539" spans="1:9" x14ac:dyDescent="0.25">
      <c r="A539" s="61">
        <v>1</v>
      </c>
      <c r="B539" s="76" t="s">
        <v>94</v>
      </c>
      <c r="C539" s="68">
        <f>1.5+0.5</f>
        <v>2</v>
      </c>
      <c r="D539" s="68">
        <f>C539-G539-H539</f>
        <v>0</v>
      </c>
      <c r="E539" s="66">
        <f>D539-F539</f>
        <v>0</v>
      </c>
      <c r="F539" s="71"/>
      <c r="G539" s="102">
        <f>1+1</f>
        <v>2</v>
      </c>
      <c r="H539" s="68"/>
    </row>
    <row r="540" spans="1:9" x14ac:dyDescent="0.25">
      <c r="A540" s="61">
        <v>2</v>
      </c>
      <c r="B540" s="76" t="s">
        <v>45</v>
      </c>
      <c r="C540" s="68">
        <v>1</v>
      </c>
      <c r="D540" s="68">
        <f>C540-G540-H540</f>
        <v>0.5</v>
      </c>
      <c r="E540" s="66">
        <f>D540-F540</f>
        <v>0.5</v>
      </c>
      <c r="F540" s="71"/>
      <c r="G540" s="102">
        <v>0.5</v>
      </c>
      <c r="H540" s="68"/>
    </row>
    <row r="541" spans="1:9" x14ac:dyDescent="0.25">
      <c r="A541" s="61"/>
      <c r="B541" s="72" t="s">
        <v>57</v>
      </c>
      <c r="C541" s="73">
        <f t="shared" ref="C541:H541" si="185">SUM(C539:C540)</f>
        <v>3</v>
      </c>
      <c r="D541" s="73">
        <f t="shared" si="185"/>
        <v>0.5</v>
      </c>
      <c r="E541" s="73">
        <f t="shared" si="185"/>
        <v>0.5</v>
      </c>
      <c r="F541" s="74">
        <f t="shared" si="185"/>
        <v>0</v>
      </c>
      <c r="G541" s="73">
        <f t="shared" si="185"/>
        <v>2.5</v>
      </c>
      <c r="H541" s="73">
        <f t="shared" si="185"/>
        <v>0</v>
      </c>
    </row>
    <row r="542" spans="1:9" x14ac:dyDescent="0.25">
      <c r="A542" s="61"/>
      <c r="B542" s="33" t="s">
        <v>95</v>
      </c>
      <c r="C542" s="68"/>
      <c r="D542" s="68"/>
      <c r="E542" s="68"/>
      <c r="F542" s="71"/>
      <c r="G542" s="60"/>
      <c r="H542" s="61"/>
      <c r="I542" s="3"/>
    </row>
    <row r="543" spans="1:9" x14ac:dyDescent="0.25">
      <c r="A543" s="61">
        <v>1</v>
      </c>
      <c r="B543" s="76" t="s">
        <v>476</v>
      </c>
      <c r="C543" s="68">
        <f>1-1+1</f>
        <v>1</v>
      </c>
      <c r="D543" s="68">
        <f>C543-G543-H543</f>
        <v>0</v>
      </c>
      <c r="E543" s="66">
        <f>D543-F543</f>
        <v>0</v>
      </c>
      <c r="F543" s="71"/>
      <c r="G543" s="102">
        <f>0.5+0.5</f>
        <v>1</v>
      </c>
      <c r="H543" s="68"/>
    </row>
    <row r="544" spans="1:9" x14ac:dyDescent="0.25">
      <c r="A544" s="61">
        <v>2</v>
      </c>
      <c r="B544" s="76" t="s">
        <v>478</v>
      </c>
      <c r="C544" s="68">
        <f>1+1+1+1+1+1+1-1</f>
        <v>6</v>
      </c>
      <c r="D544" s="68">
        <f>C544-G544-H544</f>
        <v>0</v>
      </c>
      <c r="E544" s="66">
        <f>D544-F544</f>
        <v>0</v>
      </c>
      <c r="F544" s="71"/>
      <c r="G544" s="102">
        <f>1+0.5+0.5+1+0.5+0.5+1-0.5+1.5</f>
        <v>6</v>
      </c>
      <c r="H544" s="68"/>
    </row>
    <row r="545" spans="1:9" x14ac:dyDescent="0.25">
      <c r="A545" s="61"/>
      <c r="B545" s="72" t="s">
        <v>57</v>
      </c>
      <c r="C545" s="73">
        <f t="shared" ref="C545:H545" si="186">SUM(C543:C544)</f>
        <v>7</v>
      </c>
      <c r="D545" s="73">
        <f t="shared" si="186"/>
        <v>0</v>
      </c>
      <c r="E545" s="73">
        <f t="shared" si="186"/>
        <v>0</v>
      </c>
      <c r="F545" s="74">
        <f t="shared" si="186"/>
        <v>0</v>
      </c>
      <c r="G545" s="73">
        <f t="shared" si="186"/>
        <v>7</v>
      </c>
      <c r="H545" s="73">
        <f t="shared" si="186"/>
        <v>0</v>
      </c>
    </row>
    <row r="546" spans="1:9" x14ac:dyDescent="0.25">
      <c r="A546" s="61"/>
      <c r="B546" s="76"/>
      <c r="C546" s="68"/>
      <c r="D546" s="68"/>
      <c r="E546" s="68"/>
      <c r="F546" s="71"/>
      <c r="G546" s="60"/>
      <c r="H546" s="61"/>
    </row>
    <row r="547" spans="1:9" ht="15.75" x14ac:dyDescent="0.25">
      <c r="A547" s="61"/>
      <c r="B547" s="135" t="s">
        <v>160</v>
      </c>
      <c r="C547" s="136">
        <f t="shared" ref="C547:H547" si="187">C545+C541+C524+C503+C439+C532+C537</f>
        <v>70.75</v>
      </c>
      <c r="D547" s="136">
        <f t="shared" si="187"/>
        <v>12.25</v>
      </c>
      <c r="E547" s="136">
        <f t="shared" si="187"/>
        <v>12.25</v>
      </c>
      <c r="F547" s="202">
        <f t="shared" si="187"/>
        <v>0</v>
      </c>
      <c r="G547" s="136">
        <f t="shared" si="187"/>
        <v>51.5</v>
      </c>
      <c r="H547" s="136">
        <f t="shared" si="187"/>
        <v>7</v>
      </c>
      <c r="I547" s="3">
        <f>SUM(E547:H547)</f>
        <v>70.75</v>
      </c>
    </row>
    <row r="548" spans="1:9" ht="15.75" x14ac:dyDescent="0.25">
      <c r="A548" s="61"/>
      <c r="B548" s="135"/>
      <c r="C548" s="137">
        <f t="shared" ref="C548:I548" si="188">SUM(C549:C553)-C550</f>
        <v>70.75</v>
      </c>
      <c r="D548" s="137">
        <f t="shared" si="188"/>
        <v>12.25</v>
      </c>
      <c r="E548" s="137">
        <f t="shared" si="188"/>
        <v>12.25</v>
      </c>
      <c r="F548" s="208">
        <f t="shared" si="188"/>
        <v>0</v>
      </c>
      <c r="G548" s="137">
        <f t="shared" si="188"/>
        <v>51.5</v>
      </c>
      <c r="H548" s="137">
        <f t="shared" si="188"/>
        <v>7</v>
      </c>
      <c r="I548" s="18">
        <f t="shared" si="188"/>
        <v>70.75</v>
      </c>
    </row>
    <row r="549" spans="1:9" x14ac:dyDescent="0.25">
      <c r="A549" s="61"/>
      <c r="B549" s="138" t="s">
        <v>110</v>
      </c>
      <c r="C549" s="139">
        <f>C526+C505+C432+C433+C434+C529+C530+C534</f>
        <v>29</v>
      </c>
      <c r="D549" s="139">
        <f t="shared" ref="D549:H549" si="189">D526+D505+D432+D433+D434+D529+D530+D534</f>
        <v>6</v>
      </c>
      <c r="E549" s="139">
        <f t="shared" si="189"/>
        <v>6</v>
      </c>
      <c r="F549" s="139">
        <f t="shared" si="189"/>
        <v>0</v>
      </c>
      <c r="G549" s="139">
        <f t="shared" si="189"/>
        <v>18.5</v>
      </c>
      <c r="H549" s="139">
        <f t="shared" si="189"/>
        <v>4.5</v>
      </c>
      <c r="I549" s="3">
        <f>SUM(E549:H549)</f>
        <v>29</v>
      </c>
    </row>
    <row r="550" spans="1:9" x14ac:dyDescent="0.25">
      <c r="A550" s="61"/>
      <c r="B550" s="138" t="s">
        <v>111</v>
      </c>
      <c r="C550" s="139">
        <f>C506</f>
        <v>14</v>
      </c>
      <c r="D550" s="139">
        <f t="shared" ref="D550:H550" si="190">D506</f>
        <v>0</v>
      </c>
      <c r="E550" s="139">
        <f t="shared" si="190"/>
        <v>0</v>
      </c>
      <c r="F550" s="139">
        <f t="shared" si="190"/>
        <v>0</v>
      </c>
      <c r="G550" s="139">
        <f t="shared" si="190"/>
        <v>13</v>
      </c>
      <c r="H550" s="139">
        <f t="shared" si="190"/>
        <v>1</v>
      </c>
      <c r="I550" s="3">
        <f t="shared" ref="I550:I553" si="191">SUM(E550:H550)</f>
        <v>14</v>
      </c>
    </row>
    <row r="551" spans="1:9" x14ac:dyDescent="0.25">
      <c r="A551" s="61"/>
      <c r="B551" s="138" t="s">
        <v>112</v>
      </c>
      <c r="C551" s="139">
        <f>C539+C527+C507+C435+C436+C531+C535</f>
        <v>29.25</v>
      </c>
      <c r="D551" s="139">
        <f t="shared" ref="D551:H551" si="192">D539+D527+D507+D435+D436+D531+D535</f>
        <v>4.75</v>
      </c>
      <c r="E551" s="139">
        <f t="shared" si="192"/>
        <v>4.75</v>
      </c>
      <c r="F551" s="139">
        <f t="shared" si="192"/>
        <v>0</v>
      </c>
      <c r="G551" s="139">
        <f t="shared" si="192"/>
        <v>22</v>
      </c>
      <c r="H551" s="139">
        <f t="shared" si="192"/>
        <v>2.5</v>
      </c>
      <c r="I551" s="3">
        <f t="shared" si="191"/>
        <v>29.25</v>
      </c>
    </row>
    <row r="552" spans="1:9" x14ac:dyDescent="0.25">
      <c r="A552" s="61"/>
      <c r="B552" s="138" t="s">
        <v>113</v>
      </c>
      <c r="C552" s="139">
        <f>C540+C508+C437+C536</f>
        <v>4.5</v>
      </c>
      <c r="D552" s="139">
        <f t="shared" ref="D552:H552" si="193">D540+D508+D437+D536</f>
        <v>1</v>
      </c>
      <c r="E552" s="139">
        <f t="shared" si="193"/>
        <v>1</v>
      </c>
      <c r="F552" s="139">
        <f t="shared" si="193"/>
        <v>0</v>
      </c>
      <c r="G552" s="139">
        <f t="shared" si="193"/>
        <v>3.5</v>
      </c>
      <c r="H552" s="139">
        <f t="shared" si="193"/>
        <v>0</v>
      </c>
      <c r="I552" s="3">
        <f t="shared" si="191"/>
        <v>4.5</v>
      </c>
    </row>
    <row r="553" spans="1:9" x14ac:dyDescent="0.25">
      <c r="A553" s="61"/>
      <c r="B553" s="138" t="s">
        <v>114</v>
      </c>
      <c r="C553" s="139">
        <f>C438+C543+C544</f>
        <v>8</v>
      </c>
      <c r="D553" s="139">
        <f t="shared" ref="D553:H553" si="194">D438+D543+D544</f>
        <v>0.5</v>
      </c>
      <c r="E553" s="139">
        <f t="shared" si="194"/>
        <v>0.5</v>
      </c>
      <c r="F553" s="139">
        <f t="shared" si="194"/>
        <v>0</v>
      </c>
      <c r="G553" s="139">
        <f t="shared" si="194"/>
        <v>7.5</v>
      </c>
      <c r="H553" s="139">
        <f t="shared" si="194"/>
        <v>0</v>
      </c>
      <c r="I553" s="3">
        <f t="shared" si="191"/>
        <v>8</v>
      </c>
    </row>
    <row r="554" spans="1:9" ht="20.25" x14ac:dyDescent="0.3">
      <c r="A554" s="61"/>
      <c r="B554" s="209" t="s">
        <v>161</v>
      </c>
      <c r="C554" s="139"/>
      <c r="D554" s="139"/>
      <c r="E554" s="139"/>
      <c r="F554" s="154"/>
      <c r="G554" s="60"/>
      <c r="H554" s="61"/>
    </row>
    <row r="555" spans="1:9" x14ac:dyDescent="0.25">
      <c r="A555" s="60"/>
      <c r="B555" s="90" t="s">
        <v>39</v>
      </c>
      <c r="C555" s="60"/>
      <c r="D555" s="60"/>
      <c r="E555" s="60"/>
      <c r="F555" s="119"/>
      <c r="G555" s="60"/>
      <c r="H555" s="61"/>
    </row>
    <row r="556" spans="1:9" x14ac:dyDescent="0.25">
      <c r="A556" s="61" t="s">
        <v>61</v>
      </c>
      <c r="B556" s="60" t="s">
        <v>162</v>
      </c>
      <c r="C556" s="68">
        <v>1</v>
      </c>
      <c r="D556" s="68">
        <f>C556-G556-H556</f>
        <v>0</v>
      </c>
      <c r="E556" s="66">
        <f>D556-F556</f>
        <v>0</v>
      </c>
      <c r="F556" s="71"/>
      <c r="G556" s="102">
        <v>1</v>
      </c>
      <c r="H556" s="68"/>
    </row>
    <row r="557" spans="1:9" x14ac:dyDescent="0.25">
      <c r="A557" s="61" t="s">
        <v>63</v>
      </c>
      <c r="B557" s="60" t="s">
        <v>53</v>
      </c>
      <c r="C557" s="68">
        <v>1</v>
      </c>
      <c r="D557" s="68">
        <f>C557-G557-H557</f>
        <v>0</v>
      </c>
      <c r="E557" s="66">
        <f>D557-F557</f>
        <v>0</v>
      </c>
      <c r="F557" s="71"/>
      <c r="G557" s="102">
        <v>1</v>
      </c>
      <c r="H557" s="68"/>
    </row>
    <row r="558" spans="1:9" x14ac:dyDescent="0.25">
      <c r="A558" s="61" t="s">
        <v>163</v>
      </c>
      <c r="B558" s="60" t="s">
        <v>164</v>
      </c>
      <c r="C558" s="68">
        <v>1</v>
      </c>
      <c r="D558" s="68">
        <f>C558-G558-H558</f>
        <v>0</v>
      </c>
      <c r="E558" s="66">
        <f>D558-F558</f>
        <v>0</v>
      </c>
      <c r="F558" s="71"/>
      <c r="G558" s="102">
        <v>1</v>
      </c>
      <c r="H558" s="68"/>
    </row>
    <row r="559" spans="1:9" x14ac:dyDescent="0.25">
      <c r="A559" s="61" t="s">
        <v>165</v>
      </c>
      <c r="B559" s="60" t="s">
        <v>45</v>
      </c>
      <c r="C559" s="68">
        <f>1+0.5</f>
        <v>1.5</v>
      </c>
      <c r="D559" s="68">
        <f>C559-G559-H559</f>
        <v>0</v>
      </c>
      <c r="E559" s="66">
        <f>D559-F559</f>
        <v>0</v>
      </c>
      <c r="F559" s="71"/>
      <c r="G559" s="102">
        <v>1.5</v>
      </c>
      <c r="H559" s="68"/>
    </row>
    <row r="560" spans="1:9" x14ac:dyDescent="0.25">
      <c r="A560" s="61">
        <v>5</v>
      </c>
      <c r="B560" s="60" t="s">
        <v>35</v>
      </c>
      <c r="C560" s="68">
        <v>1</v>
      </c>
      <c r="D560" s="68">
        <f>C560-G560-H560</f>
        <v>0</v>
      </c>
      <c r="E560" s="66">
        <f>D560-F560</f>
        <v>0</v>
      </c>
      <c r="F560" s="71"/>
      <c r="G560" s="102">
        <v>1</v>
      </c>
      <c r="H560" s="68"/>
    </row>
    <row r="561" spans="1:8" x14ac:dyDescent="0.25">
      <c r="A561" s="61"/>
      <c r="B561" s="161" t="s">
        <v>54</v>
      </c>
      <c r="C561" s="91">
        <f t="shared" ref="C561:H561" si="195">SUM(C556:C560)</f>
        <v>5.5</v>
      </c>
      <c r="D561" s="91">
        <f t="shared" si="195"/>
        <v>0</v>
      </c>
      <c r="E561" s="91">
        <f t="shared" si="195"/>
        <v>0</v>
      </c>
      <c r="F561" s="92">
        <f t="shared" si="195"/>
        <v>0</v>
      </c>
      <c r="G561" s="91">
        <f t="shared" si="195"/>
        <v>5.5</v>
      </c>
      <c r="H561" s="91">
        <f t="shared" si="195"/>
        <v>0</v>
      </c>
    </row>
    <row r="562" spans="1:8" x14ac:dyDescent="0.25">
      <c r="A562" s="61"/>
      <c r="B562" s="33" t="s">
        <v>77</v>
      </c>
      <c r="C562" s="68"/>
      <c r="D562" s="68"/>
      <c r="E562" s="68"/>
      <c r="F562" s="71"/>
      <c r="G562" s="60"/>
      <c r="H562" s="61"/>
    </row>
    <row r="563" spans="1:8" x14ac:dyDescent="0.25">
      <c r="A563" s="61" t="s">
        <v>61</v>
      </c>
      <c r="B563" s="60" t="s">
        <v>32</v>
      </c>
      <c r="C563" s="68">
        <f>2+0.5-0.25</f>
        <v>2.25</v>
      </c>
      <c r="D563" s="68">
        <f>C563-G563-H563</f>
        <v>0</v>
      </c>
      <c r="E563" s="66">
        <f>D563-F563</f>
        <v>0</v>
      </c>
      <c r="F563" s="71"/>
      <c r="G563" s="102">
        <v>2.25</v>
      </c>
      <c r="H563" s="68"/>
    </row>
    <row r="564" spans="1:8" x14ac:dyDescent="0.25">
      <c r="A564" s="61" t="s">
        <v>63</v>
      </c>
      <c r="B564" s="60" t="s">
        <v>64</v>
      </c>
      <c r="C564" s="68">
        <v>2</v>
      </c>
      <c r="D564" s="68">
        <f>C564-G564-H564</f>
        <v>0</v>
      </c>
      <c r="E564" s="66">
        <f>D564-F564</f>
        <v>0</v>
      </c>
      <c r="F564" s="71"/>
      <c r="G564" s="102">
        <v>2</v>
      </c>
      <c r="H564" s="68"/>
    </row>
    <row r="565" spans="1:8" x14ac:dyDescent="0.25">
      <c r="A565" s="61" t="s">
        <v>163</v>
      </c>
      <c r="B565" s="60" t="s">
        <v>45</v>
      </c>
      <c r="C565" s="68">
        <v>1</v>
      </c>
      <c r="D565" s="68">
        <f>C565-G565-H565</f>
        <v>0</v>
      </c>
      <c r="E565" s="66">
        <f>D565-F565</f>
        <v>0</v>
      </c>
      <c r="F565" s="71"/>
      <c r="G565" s="102">
        <v>1</v>
      </c>
      <c r="H565" s="68"/>
    </row>
    <row r="566" spans="1:8" x14ac:dyDescent="0.25">
      <c r="A566" s="61"/>
      <c r="B566" s="161" t="s">
        <v>20</v>
      </c>
      <c r="C566" s="91">
        <f t="shared" ref="C566:H566" si="196">SUM(C563:C565)</f>
        <v>5.25</v>
      </c>
      <c r="D566" s="91">
        <f t="shared" si="196"/>
        <v>0</v>
      </c>
      <c r="E566" s="91">
        <f t="shared" si="196"/>
        <v>0</v>
      </c>
      <c r="F566" s="92">
        <f t="shared" si="196"/>
        <v>0</v>
      </c>
      <c r="G566" s="91">
        <f t="shared" si="196"/>
        <v>5.25</v>
      </c>
      <c r="H566" s="91">
        <f t="shared" si="196"/>
        <v>0</v>
      </c>
    </row>
    <row r="567" spans="1:8" x14ac:dyDescent="0.25">
      <c r="A567" s="61"/>
      <c r="B567" s="33" t="s">
        <v>166</v>
      </c>
      <c r="C567" s="61"/>
      <c r="D567" s="61"/>
      <c r="E567" s="61"/>
      <c r="F567" s="169"/>
      <c r="G567" s="60"/>
      <c r="H567" s="61"/>
    </row>
    <row r="568" spans="1:8" x14ac:dyDescent="0.25">
      <c r="A568" s="61" t="s">
        <v>61</v>
      </c>
      <c r="B568" s="60" t="s">
        <v>167</v>
      </c>
      <c r="C568" s="68">
        <v>0.5</v>
      </c>
      <c r="D568" s="68">
        <f>C568-G568-H568</f>
        <v>0</v>
      </c>
      <c r="E568" s="66">
        <f>D568-F568</f>
        <v>0</v>
      </c>
      <c r="F568" s="71"/>
      <c r="G568" s="102">
        <v>0.5</v>
      </c>
      <c r="H568" s="68"/>
    </row>
    <row r="569" spans="1:8" x14ac:dyDescent="0.25">
      <c r="A569" s="61" t="s">
        <v>63</v>
      </c>
      <c r="B569" s="60" t="s">
        <v>168</v>
      </c>
      <c r="C569" s="68">
        <f>0.5-0.25</f>
        <v>0.25</v>
      </c>
      <c r="D569" s="68">
        <f>C569-G569-H569</f>
        <v>0</v>
      </c>
      <c r="E569" s="66">
        <f>D569-F569</f>
        <v>0</v>
      </c>
      <c r="F569" s="71"/>
      <c r="G569" s="102">
        <v>0.25</v>
      </c>
      <c r="H569" s="68"/>
    </row>
    <row r="570" spans="1:8" x14ac:dyDescent="0.25">
      <c r="A570" s="61" t="s">
        <v>163</v>
      </c>
      <c r="B570" s="60" t="s">
        <v>68</v>
      </c>
      <c r="C570" s="68">
        <v>0.25</v>
      </c>
      <c r="D570" s="68">
        <f>C570-G570-H570</f>
        <v>0</v>
      </c>
      <c r="E570" s="66">
        <f>D570-F570</f>
        <v>0</v>
      </c>
      <c r="F570" s="71"/>
      <c r="G570" s="102">
        <v>0.25</v>
      </c>
      <c r="H570" s="68"/>
    </row>
    <row r="571" spans="1:8" x14ac:dyDescent="0.25">
      <c r="A571" s="61" t="s">
        <v>165</v>
      </c>
      <c r="B571" s="60" t="s">
        <v>64</v>
      </c>
      <c r="C571" s="68">
        <f>1+0.25</f>
        <v>1.25</v>
      </c>
      <c r="D571" s="68">
        <f>C571-G571-H571</f>
        <v>0</v>
      </c>
      <c r="E571" s="66">
        <f>D571-F571</f>
        <v>0</v>
      </c>
      <c r="F571" s="71"/>
      <c r="G571" s="102">
        <f>1+0.25</f>
        <v>1.25</v>
      </c>
      <c r="H571" s="68"/>
    </row>
    <row r="572" spans="1:8" x14ac:dyDescent="0.25">
      <c r="A572" s="61">
        <v>5</v>
      </c>
      <c r="B572" s="60" t="s">
        <v>45</v>
      </c>
      <c r="C572" s="68">
        <v>1</v>
      </c>
      <c r="D572" s="68">
        <f>C572-G572-H572</f>
        <v>0</v>
      </c>
      <c r="E572" s="66">
        <f>D572-F572</f>
        <v>0</v>
      </c>
      <c r="F572" s="71"/>
      <c r="G572" s="102">
        <v>1</v>
      </c>
      <c r="H572" s="68"/>
    </row>
    <row r="573" spans="1:8" x14ac:dyDescent="0.25">
      <c r="A573" s="61"/>
      <c r="B573" s="161" t="s">
        <v>20</v>
      </c>
      <c r="C573" s="91">
        <f t="shared" ref="C573:H573" si="197">SUM(C568:C572)</f>
        <v>3.25</v>
      </c>
      <c r="D573" s="91">
        <f t="shared" si="197"/>
        <v>0</v>
      </c>
      <c r="E573" s="91">
        <f t="shared" si="197"/>
        <v>0</v>
      </c>
      <c r="F573" s="92">
        <f t="shared" si="197"/>
        <v>0</v>
      </c>
      <c r="G573" s="91">
        <f t="shared" si="197"/>
        <v>3.25</v>
      </c>
      <c r="H573" s="91">
        <f t="shared" si="197"/>
        <v>0</v>
      </c>
    </row>
    <row r="574" spans="1:8" x14ac:dyDescent="0.25">
      <c r="A574" s="61"/>
      <c r="B574" s="90" t="s">
        <v>169</v>
      </c>
      <c r="C574" s="68"/>
      <c r="D574" s="68"/>
      <c r="E574" s="68"/>
      <c r="F574" s="71"/>
      <c r="G574" s="60"/>
      <c r="H574" s="61"/>
    </row>
    <row r="575" spans="1:8" x14ac:dyDescent="0.25">
      <c r="A575" s="61" t="s">
        <v>61</v>
      </c>
      <c r="B575" s="60" t="s">
        <v>170</v>
      </c>
      <c r="C575" s="68">
        <f>0.5-0.25</f>
        <v>0.25</v>
      </c>
      <c r="D575" s="68">
        <f t="shared" ref="D575:D581" si="198">C575-G575-H575</f>
        <v>0</v>
      </c>
      <c r="E575" s="66">
        <f t="shared" ref="E575:E581" si="199">D575-F575</f>
        <v>0</v>
      </c>
      <c r="F575" s="71"/>
      <c r="G575" s="102">
        <v>0.25</v>
      </c>
      <c r="H575" s="68"/>
    </row>
    <row r="576" spans="1:8" x14ac:dyDescent="0.25">
      <c r="A576" s="61" t="s">
        <v>63</v>
      </c>
      <c r="B576" s="60" t="s">
        <v>171</v>
      </c>
      <c r="C576" s="68">
        <f>0.5+0.25+0.25</f>
        <v>1</v>
      </c>
      <c r="D576" s="68">
        <f t="shared" si="198"/>
        <v>0</v>
      </c>
      <c r="E576" s="66">
        <f t="shared" si="199"/>
        <v>0</v>
      </c>
      <c r="F576" s="71"/>
      <c r="G576" s="102">
        <v>1</v>
      </c>
      <c r="H576" s="68"/>
    </row>
    <row r="577" spans="1:8" x14ac:dyDescent="0.25">
      <c r="A577" s="61" t="s">
        <v>163</v>
      </c>
      <c r="B577" s="60" t="s">
        <v>56</v>
      </c>
      <c r="C577" s="68">
        <v>0.25</v>
      </c>
      <c r="D577" s="68">
        <f t="shared" si="198"/>
        <v>0</v>
      </c>
      <c r="E577" s="66">
        <f t="shared" si="199"/>
        <v>0</v>
      </c>
      <c r="F577" s="71"/>
      <c r="G577" s="102">
        <v>0.25</v>
      </c>
      <c r="H577" s="68"/>
    </row>
    <row r="578" spans="1:8" x14ac:dyDescent="0.25">
      <c r="A578" s="61" t="s">
        <v>165</v>
      </c>
      <c r="B578" s="60" t="s">
        <v>75</v>
      </c>
      <c r="C578" s="68">
        <v>0.25</v>
      </c>
      <c r="D578" s="68">
        <f t="shared" si="198"/>
        <v>0</v>
      </c>
      <c r="E578" s="66">
        <f t="shared" si="199"/>
        <v>0</v>
      </c>
      <c r="F578" s="71"/>
      <c r="G578" s="102">
        <v>0.25</v>
      </c>
      <c r="H578" s="68"/>
    </row>
    <row r="579" spans="1:8" x14ac:dyDescent="0.25">
      <c r="A579" s="61" t="s">
        <v>172</v>
      </c>
      <c r="B579" s="60" t="s">
        <v>173</v>
      </c>
      <c r="C579" s="68">
        <v>0.5</v>
      </c>
      <c r="D579" s="68">
        <f t="shared" si="198"/>
        <v>0</v>
      </c>
      <c r="E579" s="66">
        <f t="shared" si="199"/>
        <v>0</v>
      </c>
      <c r="F579" s="71"/>
      <c r="G579" s="102">
        <v>0.5</v>
      </c>
      <c r="H579" s="68"/>
    </row>
    <row r="580" spans="1:8" x14ac:dyDescent="0.25">
      <c r="A580" s="61">
        <v>6</v>
      </c>
      <c r="B580" s="60" t="s">
        <v>64</v>
      </c>
      <c r="C580" s="68">
        <f>1.5-0.5+0.5</f>
        <v>1.5</v>
      </c>
      <c r="D580" s="68">
        <f t="shared" si="198"/>
        <v>0</v>
      </c>
      <c r="E580" s="66">
        <f t="shared" si="199"/>
        <v>0</v>
      </c>
      <c r="F580" s="71"/>
      <c r="G580" s="102">
        <v>1.5</v>
      </c>
      <c r="H580" s="68"/>
    </row>
    <row r="581" spans="1:8" x14ac:dyDescent="0.25">
      <c r="A581" s="61">
        <v>7</v>
      </c>
      <c r="B581" s="60" t="s">
        <v>45</v>
      </c>
      <c r="C581" s="68">
        <v>0.5</v>
      </c>
      <c r="D581" s="68">
        <f t="shared" si="198"/>
        <v>0</v>
      </c>
      <c r="E581" s="66">
        <f t="shared" si="199"/>
        <v>0</v>
      </c>
      <c r="F581" s="71"/>
      <c r="G581" s="102">
        <v>0.5</v>
      </c>
      <c r="H581" s="68"/>
    </row>
    <row r="582" spans="1:8" x14ac:dyDescent="0.25">
      <c r="A582" s="61"/>
      <c r="B582" s="161" t="s">
        <v>20</v>
      </c>
      <c r="C582" s="91">
        <f t="shared" ref="C582:H582" si="200">SUM(C575:C581)</f>
        <v>4.25</v>
      </c>
      <c r="D582" s="91">
        <f t="shared" si="200"/>
        <v>0</v>
      </c>
      <c r="E582" s="91">
        <f t="shared" si="200"/>
        <v>0</v>
      </c>
      <c r="F582" s="92">
        <f t="shared" si="200"/>
        <v>0</v>
      </c>
      <c r="G582" s="91">
        <f t="shared" si="200"/>
        <v>4.25</v>
      </c>
      <c r="H582" s="91">
        <f t="shared" si="200"/>
        <v>0</v>
      </c>
    </row>
    <row r="583" spans="1:8" x14ac:dyDescent="0.25">
      <c r="A583" s="61"/>
      <c r="B583" s="33" t="s">
        <v>84</v>
      </c>
      <c r="C583" s="61"/>
      <c r="D583" s="61"/>
      <c r="E583" s="61"/>
      <c r="F583" s="169"/>
      <c r="G583" s="60"/>
      <c r="H583" s="61"/>
    </row>
    <row r="584" spans="1:8" x14ac:dyDescent="0.25">
      <c r="A584" s="61" t="s">
        <v>61</v>
      </c>
      <c r="B584" s="60" t="s">
        <v>174</v>
      </c>
      <c r="C584" s="68">
        <v>0.5</v>
      </c>
      <c r="D584" s="68">
        <f>C584-G584-H584</f>
        <v>0</v>
      </c>
      <c r="E584" s="66">
        <f>D584-F584</f>
        <v>0</v>
      </c>
      <c r="F584" s="71"/>
      <c r="G584" s="102">
        <v>0.5</v>
      </c>
      <c r="H584" s="68"/>
    </row>
    <row r="585" spans="1:8" x14ac:dyDescent="0.25">
      <c r="A585" s="61" t="s">
        <v>63</v>
      </c>
      <c r="B585" s="60" t="s">
        <v>86</v>
      </c>
      <c r="C585" s="68">
        <v>0.5</v>
      </c>
      <c r="D585" s="68">
        <f>C585-G585-H585</f>
        <v>0</v>
      </c>
      <c r="E585" s="66">
        <f>D585-F585</f>
        <v>0</v>
      </c>
      <c r="F585" s="71"/>
      <c r="G585" s="102">
        <v>0.5</v>
      </c>
      <c r="H585" s="68"/>
    </row>
    <row r="586" spans="1:8" x14ac:dyDescent="0.25">
      <c r="A586" s="61" t="s">
        <v>163</v>
      </c>
      <c r="B586" s="60" t="s">
        <v>45</v>
      </c>
      <c r="C586" s="68">
        <v>0.5</v>
      </c>
      <c r="D586" s="68">
        <f>C586-G586-H586</f>
        <v>0</v>
      </c>
      <c r="E586" s="66">
        <f>D586-F586</f>
        <v>0</v>
      </c>
      <c r="F586" s="71"/>
      <c r="G586" s="102">
        <v>0.5</v>
      </c>
      <c r="H586" s="68"/>
    </row>
    <row r="587" spans="1:8" x14ac:dyDescent="0.25">
      <c r="A587" s="61"/>
      <c r="B587" s="161" t="s">
        <v>20</v>
      </c>
      <c r="C587" s="91">
        <f t="shared" ref="C587:H587" si="201">SUM(C584:C586)</f>
        <v>1.5</v>
      </c>
      <c r="D587" s="91">
        <f t="shared" si="201"/>
        <v>0</v>
      </c>
      <c r="E587" s="91">
        <f t="shared" si="201"/>
        <v>0</v>
      </c>
      <c r="F587" s="92">
        <f t="shared" si="201"/>
        <v>0</v>
      </c>
      <c r="G587" s="91">
        <f t="shared" si="201"/>
        <v>1.5</v>
      </c>
      <c r="H587" s="91">
        <f t="shared" si="201"/>
        <v>0</v>
      </c>
    </row>
    <row r="588" spans="1:8" x14ac:dyDescent="0.25">
      <c r="A588" s="61"/>
      <c r="B588" s="60"/>
      <c r="C588" s="66"/>
      <c r="D588" s="66"/>
      <c r="E588" s="66"/>
      <c r="F588" s="67"/>
      <c r="G588" s="60"/>
      <c r="H588" s="61"/>
    </row>
    <row r="589" spans="1:8" x14ac:dyDescent="0.25">
      <c r="A589" s="61"/>
      <c r="B589" s="33" t="s">
        <v>93</v>
      </c>
      <c r="C589" s="61"/>
      <c r="D589" s="61"/>
      <c r="E589" s="61"/>
      <c r="F589" s="169"/>
      <c r="G589" s="60"/>
      <c r="H589" s="61"/>
    </row>
    <row r="590" spans="1:8" x14ac:dyDescent="0.25">
      <c r="A590" s="61" t="s">
        <v>61</v>
      </c>
      <c r="B590" s="60" t="s">
        <v>94</v>
      </c>
      <c r="C590" s="68">
        <v>1</v>
      </c>
      <c r="D590" s="68">
        <f>C590-G590-H590</f>
        <v>0</v>
      </c>
      <c r="E590" s="66">
        <f>D590-F590</f>
        <v>0</v>
      </c>
      <c r="F590" s="71"/>
      <c r="G590" s="102">
        <v>1</v>
      </c>
      <c r="H590" s="68"/>
    </row>
    <row r="591" spans="1:8" x14ac:dyDescent="0.25">
      <c r="A591" s="61" t="s">
        <v>63</v>
      </c>
      <c r="B591" s="60" t="s">
        <v>45</v>
      </c>
      <c r="C591" s="68">
        <v>0.5</v>
      </c>
      <c r="D591" s="68">
        <f>C591-G591-H591</f>
        <v>0</v>
      </c>
      <c r="E591" s="66">
        <f>D591-F591</f>
        <v>0</v>
      </c>
      <c r="F591" s="71"/>
      <c r="G591" s="102">
        <v>0.5</v>
      </c>
      <c r="H591" s="68"/>
    </row>
    <row r="592" spans="1:8" x14ac:dyDescent="0.25">
      <c r="A592" s="61"/>
      <c r="B592" s="161" t="s">
        <v>20</v>
      </c>
      <c r="C592" s="91">
        <f t="shared" ref="C592:H592" si="202">C591+C590</f>
        <v>1.5</v>
      </c>
      <c r="D592" s="91">
        <f t="shared" si="202"/>
        <v>0</v>
      </c>
      <c r="E592" s="91">
        <f t="shared" si="202"/>
        <v>0</v>
      </c>
      <c r="F592" s="92">
        <f t="shared" si="202"/>
        <v>0</v>
      </c>
      <c r="G592" s="91">
        <f t="shared" si="202"/>
        <v>1.5</v>
      </c>
      <c r="H592" s="91">
        <f t="shared" si="202"/>
        <v>0</v>
      </c>
    </row>
    <row r="593" spans="1:8" x14ac:dyDescent="0.25">
      <c r="A593" s="61"/>
      <c r="B593" s="33" t="s">
        <v>95</v>
      </c>
      <c r="C593" s="68"/>
      <c r="D593" s="68"/>
      <c r="E593" s="68"/>
      <c r="F593" s="71"/>
      <c r="G593" s="60"/>
      <c r="H593" s="61"/>
    </row>
    <row r="594" spans="1:8" x14ac:dyDescent="0.25">
      <c r="A594" s="61" t="s">
        <v>61</v>
      </c>
      <c r="B594" s="60" t="s">
        <v>96</v>
      </c>
      <c r="C594" s="68">
        <v>2</v>
      </c>
      <c r="D594" s="68">
        <f>C594-G594-H594</f>
        <v>0</v>
      </c>
      <c r="E594" s="66">
        <f>D594-F594</f>
        <v>0</v>
      </c>
      <c r="F594" s="71"/>
      <c r="G594" s="102">
        <v>2</v>
      </c>
      <c r="H594" s="68"/>
    </row>
    <row r="595" spans="1:8" x14ac:dyDescent="0.25">
      <c r="A595" s="60"/>
      <c r="B595" s="62" t="s">
        <v>175</v>
      </c>
      <c r="C595" s="68"/>
      <c r="D595" s="68"/>
      <c r="E595" s="68"/>
      <c r="F595" s="71"/>
      <c r="G595" s="102"/>
      <c r="H595" s="61"/>
    </row>
    <row r="596" spans="1:8" x14ac:dyDescent="0.25">
      <c r="A596" s="61">
        <v>1</v>
      </c>
      <c r="B596" s="201" t="s">
        <v>104</v>
      </c>
      <c r="C596" s="68">
        <v>1</v>
      </c>
      <c r="D596" s="68">
        <f>C596-G596-H596</f>
        <v>0</v>
      </c>
      <c r="E596" s="66">
        <f>D596-F596</f>
        <v>0</v>
      </c>
      <c r="F596" s="71"/>
      <c r="G596" s="102">
        <v>1</v>
      </c>
      <c r="H596" s="68"/>
    </row>
    <row r="597" spans="1:8" x14ac:dyDescent="0.25">
      <c r="A597" s="60"/>
      <c r="B597" s="62"/>
      <c r="C597" s="68"/>
      <c r="D597" s="68"/>
      <c r="E597" s="68"/>
      <c r="F597" s="71"/>
      <c r="G597" s="60"/>
      <c r="H597" s="61"/>
    </row>
    <row r="598" spans="1:8" x14ac:dyDescent="0.25">
      <c r="A598" s="161"/>
      <c r="B598" s="210" t="s">
        <v>176</v>
      </c>
      <c r="C598" s="211">
        <f t="shared" ref="C598:H598" si="203">C596+C594+C592+C587+C582+C573+C566+C561</f>
        <v>24.25</v>
      </c>
      <c r="D598" s="211">
        <f t="shared" si="203"/>
        <v>0</v>
      </c>
      <c r="E598" s="211">
        <f t="shared" si="203"/>
        <v>0</v>
      </c>
      <c r="F598" s="212">
        <f t="shared" si="203"/>
        <v>0</v>
      </c>
      <c r="G598" s="211">
        <f t="shared" si="203"/>
        <v>24.25</v>
      </c>
      <c r="H598" s="211">
        <f t="shared" si="203"/>
        <v>0</v>
      </c>
    </row>
    <row r="599" spans="1:8" x14ac:dyDescent="0.25">
      <c r="A599" s="161"/>
      <c r="B599" s="210"/>
      <c r="C599" s="83">
        <f t="shared" ref="C599:H599" si="204">SUM(C602:C604)+C600</f>
        <v>24.25</v>
      </c>
      <c r="D599" s="83">
        <f t="shared" si="204"/>
        <v>0</v>
      </c>
      <c r="E599" s="83">
        <f t="shared" si="204"/>
        <v>0</v>
      </c>
      <c r="F599" s="84">
        <f t="shared" si="204"/>
        <v>0</v>
      </c>
      <c r="G599" s="83">
        <f t="shared" si="204"/>
        <v>24.25</v>
      </c>
      <c r="H599" s="83">
        <f t="shared" si="204"/>
        <v>0</v>
      </c>
    </row>
    <row r="600" spans="1:8" x14ac:dyDescent="0.25">
      <c r="A600" s="161"/>
      <c r="B600" s="213" t="s">
        <v>28</v>
      </c>
      <c r="C600" s="211">
        <f t="shared" ref="C600:H600" si="205">C556+C563+C568+C569+C575+C576+C579+C584+C577+C578+C570</f>
        <v>7</v>
      </c>
      <c r="D600" s="211">
        <f t="shared" si="205"/>
        <v>0</v>
      </c>
      <c r="E600" s="211">
        <f t="shared" si="205"/>
        <v>0</v>
      </c>
      <c r="F600" s="212">
        <f t="shared" si="205"/>
        <v>0</v>
      </c>
      <c r="G600" s="211">
        <f t="shared" si="205"/>
        <v>7</v>
      </c>
      <c r="H600" s="211">
        <f t="shared" si="205"/>
        <v>0</v>
      </c>
    </row>
    <row r="601" spans="1:8" x14ac:dyDescent="0.25">
      <c r="A601" s="161"/>
      <c r="B601" s="213" t="s">
        <v>177</v>
      </c>
      <c r="C601" s="211">
        <f t="shared" ref="C601:H601" si="206">C563+C568+C569+C575+C576+C579+C584+C577+C578</f>
        <v>5.75</v>
      </c>
      <c r="D601" s="211">
        <f t="shared" si="206"/>
        <v>0</v>
      </c>
      <c r="E601" s="211">
        <f t="shared" si="206"/>
        <v>0</v>
      </c>
      <c r="F601" s="212">
        <f t="shared" si="206"/>
        <v>0</v>
      </c>
      <c r="G601" s="211">
        <f t="shared" si="206"/>
        <v>5.75</v>
      </c>
      <c r="H601" s="211">
        <f t="shared" si="206"/>
        <v>0</v>
      </c>
    </row>
    <row r="602" spans="1:8" x14ac:dyDescent="0.25">
      <c r="A602" s="161"/>
      <c r="B602" s="213" t="s">
        <v>178</v>
      </c>
      <c r="C602" s="211">
        <f t="shared" ref="C602:H602" si="207">C557+C564+C571+C580+C585+C590+C594</f>
        <v>9.25</v>
      </c>
      <c r="D602" s="211">
        <f t="shared" si="207"/>
        <v>0</v>
      </c>
      <c r="E602" s="211">
        <f t="shared" si="207"/>
        <v>0</v>
      </c>
      <c r="F602" s="212">
        <f t="shared" si="207"/>
        <v>0</v>
      </c>
      <c r="G602" s="211">
        <f t="shared" si="207"/>
        <v>9.25</v>
      </c>
      <c r="H602" s="211">
        <f t="shared" si="207"/>
        <v>0</v>
      </c>
    </row>
    <row r="603" spans="1:8" x14ac:dyDescent="0.25">
      <c r="A603" s="161"/>
      <c r="B603" s="213" t="s">
        <v>179</v>
      </c>
      <c r="C603" s="211">
        <f t="shared" ref="C603:H603" si="208">C559+C558+C565+C572+C581+C586+C591</f>
        <v>6</v>
      </c>
      <c r="D603" s="211">
        <f t="shared" si="208"/>
        <v>0</v>
      </c>
      <c r="E603" s="211">
        <f t="shared" si="208"/>
        <v>0</v>
      </c>
      <c r="F603" s="212">
        <f t="shared" si="208"/>
        <v>0</v>
      </c>
      <c r="G603" s="211">
        <f t="shared" si="208"/>
        <v>6</v>
      </c>
      <c r="H603" s="211">
        <f t="shared" si="208"/>
        <v>0</v>
      </c>
    </row>
    <row r="604" spans="1:8" x14ac:dyDescent="0.25">
      <c r="A604" s="161"/>
      <c r="B604" s="213" t="s">
        <v>30</v>
      </c>
      <c r="C604" s="211">
        <f t="shared" ref="C604:H604" si="209">C596+C560</f>
        <v>2</v>
      </c>
      <c r="D604" s="211">
        <f t="shared" si="209"/>
        <v>0</v>
      </c>
      <c r="E604" s="211">
        <f t="shared" si="209"/>
        <v>0</v>
      </c>
      <c r="F604" s="212">
        <f t="shared" si="209"/>
        <v>0</v>
      </c>
      <c r="G604" s="211">
        <f t="shared" si="209"/>
        <v>2</v>
      </c>
      <c r="H604" s="211">
        <f t="shared" si="209"/>
        <v>0</v>
      </c>
    </row>
    <row r="605" spans="1:8" x14ac:dyDescent="0.25">
      <c r="A605" s="161"/>
      <c r="B605" s="213"/>
      <c r="C605" s="214"/>
      <c r="D605" s="214"/>
      <c r="E605" s="214"/>
      <c r="F605" s="215"/>
      <c r="G605" s="60"/>
      <c r="H605" s="61"/>
    </row>
    <row r="606" spans="1:8" ht="15.75" x14ac:dyDescent="0.25">
      <c r="A606" s="61"/>
      <c r="B606" s="216" t="s">
        <v>180</v>
      </c>
      <c r="C606" s="217"/>
      <c r="D606" s="217"/>
      <c r="E606" s="217"/>
      <c r="F606" s="218"/>
      <c r="G606" s="60"/>
      <c r="H606" s="61"/>
    </row>
    <row r="607" spans="1:8" x14ac:dyDescent="0.25">
      <c r="A607" s="61">
        <v>1</v>
      </c>
      <c r="B607" s="86" t="s">
        <v>181</v>
      </c>
      <c r="C607" s="66">
        <v>1</v>
      </c>
      <c r="D607" s="66">
        <f>C607-G607-H607</f>
        <v>0.75</v>
      </c>
      <c r="E607" s="66">
        <f t="shared" ref="E607:E612" si="210">D607-F607</f>
        <v>0.75</v>
      </c>
      <c r="F607" s="67"/>
      <c r="G607" s="60">
        <v>0.25</v>
      </c>
      <c r="H607" s="68"/>
    </row>
    <row r="608" spans="1:8" x14ac:dyDescent="0.25">
      <c r="A608" s="61">
        <v>2</v>
      </c>
      <c r="B608" s="86" t="s">
        <v>83</v>
      </c>
      <c r="C608" s="66">
        <f>1+1-1</f>
        <v>1</v>
      </c>
      <c r="D608" s="66">
        <f>C608-G608-H608</f>
        <v>1</v>
      </c>
      <c r="E608" s="66">
        <f t="shared" si="210"/>
        <v>1</v>
      </c>
      <c r="F608" s="67"/>
      <c r="G608" s="60"/>
      <c r="H608" s="68"/>
    </row>
    <row r="609" spans="1:8" x14ac:dyDescent="0.25">
      <c r="A609" s="61">
        <v>3</v>
      </c>
      <c r="B609" s="86" t="s">
        <v>32</v>
      </c>
      <c r="C609" s="66">
        <f>0.5+0.5</f>
        <v>1</v>
      </c>
      <c r="D609" s="66">
        <f>C609-G609-H609</f>
        <v>1</v>
      </c>
      <c r="E609" s="66">
        <f t="shared" si="210"/>
        <v>1</v>
      </c>
      <c r="F609" s="67"/>
      <c r="G609" s="60"/>
      <c r="H609" s="68"/>
    </row>
    <row r="610" spans="1:8" x14ac:dyDescent="0.25">
      <c r="A610" s="61">
        <v>4</v>
      </c>
      <c r="B610" s="86" t="s">
        <v>145</v>
      </c>
      <c r="C610" s="66">
        <v>0.25</v>
      </c>
      <c r="D610" s="66">
        <v>0.25</v>
      </c>
      <c r="E610" s="66">
        <f t="shared" si="210"/>
        <v>0.25</v>
      </c>
      <c r="F610" s="67"/>
      <c r="G610" s="60"/>
      <c r="H610" s="68"/>
    </row>
    <row r="611" spans="1:8" x14ac:dyDescent="0.25">
      <c r="A611" s="61">
        <v>5</v>
      </c>
      <c r="B611" s="86" t="s">
        <v>182</v>
      </c>
      <c r="C611" s="66">
        <v>1</v>
      </c>
      <c r="D611" s="66">
        <f>C611-G611-H611</f>
        <v>0.75</v>
      </c>
      <c r="E611" s="66">
        <f t="shared" si="210"/>
        <v>0.75</v>
      </c>
      <c r="F611" s="67"/>
      <c r="G611" s="60">
        <v>0.25</v>
      </c>
      <c r="H611" s="68"/>
    </row>
    <row r="612" spans="1:8" x14ac:dyDescent="0.25">
      <c r="A612" s="61">
        <v>6</v>
      </c>
      <c r="B612" s="86" t="s">
        <v>64</v>
      </c>
      <c r="C612" s="66">
        <f>3.5-1.5-1+1</f>
        <v>2</v>
      </c>
      <c r="D612" s="66">
        <f>C612-G612-H612</f>
        <v>1.75</v>
      </c>
      <c r="E612" s="66">
        <f t="shared" si="210"/>
        <v>1.75</v>
      </c>
      <c r="F612" s="67"/>
      <c r="G612" s="60">
        <v>0.25</v>
      </c>
      <c r="H612" s="68"/>
    </row>
    <row r="613" spans="1:8" x14ac:dyDescent="0.25">
      <c r="A613" s="61"/>
      <c r="B613" s="219" t="s">
        <v>183</v>
      </c>
      <c r="C613" s="94">
        <f t="shared" ref="C613:H613" si="211">SUM(C607:C612)</f>
        <v>6.25</v>
      </c>
      <c r="D613" s="94">
        <f t="shared" si="211"/>
        <v>5.5</v>
      </c>
      <c r="E613" s="94">
        <f t="shared" si="211"/>
        <v>5.5</v>
      </c>
      <c r="F613" s="95">
        <f t="shared" si="211"/>
        <v>0</v>
      </c>
      <c r="G613" s="94">
        <f t="shared" si="211"/>
        <v>0.75</v>
      </c>
      <c r="H613" s="94">
        <f t="shared" si="211"/>
        <v>0</v>
      </c>
    </row>
    <row r="614" spans="1:8" x14ac:dyDescent="0.25">
      <c r="A614" s="61"/>
      <c r="B614" s="219" t="s">
        <v>184</v>
      </c>
      <c r="C614" s="94">
        <f t="shared" ref="C614:H614" si="212">SUM(C607:C611)</f>
        <v>4.25</v>
      </c>
      <c r="D614" s="94">
        <f t="shared" si="212"/>
        <v>3.75</v>
      </c>
      <c r="E614" s="94">
        <f t="shared" si="212"/>
        <v>3.75</v>
      </c>
      <c r="F614" s="95">
        <f t="shared" si="212"/>
        <v>0</v>
      </c>
      <c r="G614" s="94">
        <f t="shared" si="212"/>
        <v>0.5</v>
      </c>
      <c r="H614" s="94">
        <f t="shared" si="212"/>
        <v>0</v>
      </c>
    </row>
    <row r="615" spans="1:8" x14ac:dyDescent="0.25">
      <c r="A615" s="61"/>
      <c r="B615" s="99" t="s">
        <v>112</v>
      </c>
      <c r="C615" s="94">
        <f t="shared" ref="C615:H615" si="213">C612</f>
        <v>2</v>
      </c>
      <c r="D615" s="94">
        <f t="shared" si="213"/>
        <v>1.75</v>
      </c>
      <c r="E615" s="94">
        <f t="shared" si="213"/>
        <v>1.75</v>
      </c>
      <c r="F615" s="95">
        <f t="shared" si="213"/>
        <v>0</v>
      </c>
      <c r="G615" s="94">
        <f t="shared" si="213"/>
        <v>0.25</v>
      </c>
      <c r="H615" s="94">
        <f t="shared" si="213"/>
        <v>0</v>
      </c>
    </row>
    <row r="616" spans="1:8" x14ac:dyDescent="0.25">
      <c r="A616" s="61"/>
      <c r="B616" s="99"/>
      <c r="C616" s="94"/>
      <c r="D616" s="94"/>
      <c r="E616" s="94"/>
      <c r="F616" s="95"/>
      <c r="G616" s="94"/>
      <c r="H616" s="94"/>
    </row>
    <row r="617" spans="1:8" x14ac:dyDescent="0.25">
      <c r="A617" s="61"/>
      <c r="B617" s="99"/>
      <c r="C617" s="94"/>
      <c r="D617" s="94"/>
      <c r="E617" s="94"/>
      <c r="F617" s="95"/>
      <c r="G617" s="94"/>
      <c r="H617" s="94"/>
    </row>
    <row r="618" spans="1:8" ht="15.75" x14ac:dyDescent="0.25">
      <c r="A618" s="220" t="s">
        <v>579</v>
      </c>
      <c r="B618" s="221"/>
      <c r="C618" s="221"/>
      <c r="D618" s="221"/>
      <c r="E618" s="221"/>
      <c r="F618" s="222"/>
      <c r="G618" s="221"/>
      <c r="H618" s="221"/>
    </row>
    <row r="619" spans="1:8" x14ac:dyDescent="0.25">
      <c r="A619" s="56"/>
      <c r="B619" s="196" t="s">
        <v>185</v>
      </c>
      <c r="C619" s="223"/>
      <c r="D619" s="223"/>
      <c r="E619" s="223"/>
      <c r="F619" s="224"/>
      <c r="G619" s="60"/>
      <c r="H619" s="61"/>
    </row>
    <row r="620" spans="1:8" ht="25.5" x14ac:dyDescent="0.25">
      <c r="A620" s="225">
        <v>1</v>
      </c>
      <c r="B620" s="226" t="s">
        <v>186</v>
      </c>
      <c r="C620" s="113">
        <v>1</v>
      </c>
      <c r="D620" s="113">
        <f>C620-G620-H620</f>
        <v>0</v>
      </c>
      <c r="E620" s="66">
        <f>D620-F620</f>
        <v>0</v>
      </c>
      <c r="F620" s="114"/>
      <c r="G620" s="227">
        <v>1</v>
      </c>
      <c r="H620" s="68"/>
    </row>
    <row r="621" spans="1:8" ht="25.5" x14ac:dyDescent="0.25">
      <c r="A621" s="225">
        <v>2</v>
      </c>
      <c r="B621" s="226" t="s">
        <v>187</v>
      </c>
      <c r="C621" s="113">
        <v>1</v>
      </c>
      <c r="D621" s="113">
        <f>C621-G621-H621</f>
        <v>0</v>
      </c>
      <c r="E621" s="66">
        <f>D621-F621</f>
        <v>0</v>
      </c>
      <c r="F621" s="114"/>
      <c r="G621" s="227">
        <v>1</v>
      </c>
      <c r="H621" s="68"/>
    </row>
    <row r="622" spans="1:8" x14ac:dyDescent="0.25">
      <c r="A622" s="111">
        <v>3</v>
      </c>
      <c r="B622" s="226" t="s">
        <v>188</v>
      </c>
      <c r="C622" s="113">
        <v>1</v>
      </c>
      <c r="D622" s="113">
        <f>C622-G622-H622</f>
        <v>0</v>
      </c>
      <c r="E622" s="66">
        <f>D622-F622</f>
        <v>0</v>
      </c>
      <c r="F622" s="114"/>
      <c r="G622" s="68">
        <f>0.25+0.75</f>
        <v>1</v>
      </c>
      <c r="H622" s="68"/>
    </row>
    <row r="623" spans="1:8" x14ac:dyDescent="0.25">
      <c r="A623" s="111">
        <v>4</v>
      </c>
      <c r="B623" s="226" t="s">
        <v>44</v>
      </c>
      <c r="C623" s="228">
        <v>0.75</v>
      </c>
      <c r="D623" s="228">
        <f>C623-G623-H623</f>
        <v>0</v>
      </c>
      <c r="E623" s="66">
        <f>D623-F623</f>
        <v>0</v>
      </c>
      <c r="F623" s="229"/>
      <c r="G623" s="61">
        <v>0.75</v>
      </c>
      <c r="H623" s="68"/>
    </row>
    <row r="624" spans="1:8" x14ac:dyDescent="0.25">
      <c r="A624" s="111">
        <v>5</v>
      </c>
      <c r="B624" s="226" t="s">
        <v>189</v>
      </c>
      <c r="C624" s="113">
        <v>1</v>
      </c>
      <c r="D624" s="113">
        <f>C624-G624-H624</f>
        <v>1</v>
      </c>
      <c r="E624" s="66">
        <f>D624-F624</f>
        <v>1</v>
      </c>
      <c r="F624" s="114"/>
      <c r="G624" s="60"/>
      <c r="H624" s="68"/>
    </row>
    <row r="625" spans="1:8" x14ac:dyDescent="0.25">
      <c r="A625" s="111"/>
      <c r="B625" s="230" t="s">
        <v>190</v>
      </c>
      <c r="C625" s="109">
        <f t="shared" ref="C625:H625" si="214">SUM(C620:C624)</f>
        <v>4.75</v>
      </c>
      <c r="D625" s="109">
        <f t="shared" si="214"/>
        <v>1</v>
      </c>
      <c r="E625" s="109">
        <f t="shared" si="214"/>
        <v>1</v>
      </c>
      <c r="F625" s="110">
        <f t="shared" si="214"/>
        <v>0</v>
      </c>
      <c r="G625" s="109">
        <f t="shared" si="214"/>
        <v>3.75</v>
      </c>
      <c r="H625" s="109">
        <f t="shared" si="214"/>
        <v>0</v>
      </c>
    </row>
    <row r="626" spans="1:8" x14ac:dyDescent="0.25">
      <c r="A626" s="111"/>
      <c r="B626" s="230"/>
      <c r="C626" s="109"/>
      <c r="D626" s="109"/>
      <c r="E626" s="109"/>
      <c r="F626" s="110"/>
      <c r="G626" s="60"/>
      <c r="H626" s="61"/>
    </row>
    <row r="627" spans="1:8" x14ac:dyDescent="0.25">
      <c r="A627" s="674" t="s">
        <v>191</v>
      </c>
      <c r="B627" s="674"/>
      <c r="C627" s="674"/>
      <c r="D627" s="231"/>
      <c r="E627" s="231"/>
      <c r="F627" s="232"/>
      <c r="G627" s="60"/>
      <c r="H627" s="61"/>
    </row>
    <row r="628" spans="1:8" ht="25.5" x14ac:dyDescent="0.25">
      <c r="A628" s="111">
        <v>1</v>
      </c>
      <c r="B628" s="226" t="s">
        <v>192</v>
      </c>
      <c r="C628" s="113">
        <v>0.5</v>
      </c>
      <c r="D628" s="113">
        <f>C628-G628-H628</f>
        <v>0</v>
      </c>
      <c r="E628" s="66">
        <f>D628-F628</f>
        <v>0</v>
      </c>
      <c r="F628" s="114"/>
      <c r="G628" s="102">
        <v>0.5</v>
      </c>
      <c r="H628" s="68"/>
    </row>
    <row r="629" spans="1:8" ht="25.5" x14ac:dyDescent="0.25">
      <c r="A629" s="111">
        <v>2</v>
      </c>
      <c r="B629" s="226" t="s">
        <v>193</v>
      </c>
      <c r="C629" s="113">
        <v>0.5</v>
      </c>
      <c r="D629" s="113">
        <f>C629-G629-H629</f>
        <v>0</v>
      </c>
      <c r="E629" s="66">
        <f>D629-F629</f>
        <v>0</v>
      </c>
      <c r="F629" s="114"/>
      <c r="G629" s="102">
        <v>0.5</v>
      </c>
      <c r="H629" s="68"/>
    </row>
    <row r="630" spans="1:8" ht="45" x14ac:dyDescent="0.25">
      <c r="A630" s="111">
        <v>3</v>
      </c>
      <c r="B630" s="233" t="s">
        <v>194</v>
      </c>
      <c r="C630" s="113">
        <f>5+1</f>
        <v>6</v>
      </c>
      <c r="D630" s="113">
        <f>C630-G630-H630</f>
        <v>0</v>
      </c>
      <c r="E630" s="66">
        <f>D630-F630</f>
        <v>0</v>
      </c>
      <c r="F630" s="114"/>
      <c r="G630" s="234">
        <f>1+1+0.5+3.5</f>
        <v>6</v>
      </c>
      <c r="H630" s="68"/>
    </row>
    <row r="631" spans="1:8" x14ac:dyDescent="0.25">
      <c r="A631" s="111"/>
      <c r="B631" s="235" t="s">
        <v>195</v>
      </c>
      <c r="C631" s="235"/>
      <c r="D631" s="235"/>
      <c r="E631" s="235"/>
      <c r="F631" s="236"/>
      <c r="G631" s="235"/>
      <c r="H631" s="235"/>
    </row>
    <row r="632" spans="1:8" x14ac:dyDescent="0.25">
      <c r="A632" s="111">
        <v>4</v>
      </c>
      <c r="B632" s="237" t="s">
        <v>196</v>
      </c>
      <c r="C632" s="228">
        <v>3.75</v>
      </c>
      <c r="D632" s="228">
        <f t="shared" ref="D632:D636" si="215">C632-G632-H632</f>
        <v>0</v>
      </c>
      <c r="E632" s="66">
        <f t="shared" ref="E632:E636" si="216">D632-F632</f>
        <v>0</v>
      </c>
      <c r="F632" s="229"/>
      <c r="G632" s="60">
        <v>0.75</v>
      </c>
      <c r="H632" s="68">
        <v>3</v>
      </c>
    </row>
    <row r="633" spans="1:8" x14ac:dyDescent="0.25">
      <c r="A633" s="111">
        <v>5</v>
      </c>
      <c r="B633" s="226" t="s">
        <v>197</v>
      </c>
      <c r="C633" s="228">
        <v>1.25</v>
      </c>
      <c r="D633" s="228">
        <f t="shared" si="215"/>
        <v>0</v>
      </c>
      <c r="E633" s="66">
        <f t="shared" si="216"/>
        <v>0</v>
      </c>
      <c r="F633" s="229"/>
      <c r="G633" s="102">
        <f>0.25+0.25</f>
        <v>0.5</v>
      </c>
      <c r="H633" s="68">
        <v>0.75</v>
      </c>
    </row>
    <row r="634" spans="1:8" x14ac:dyDescent="0.25">
      <c r="A634" s="111">
        <v>6</v>
      </c>
      <c r="B634" s="226" t="s">
        <v>198</v>
      </c>
      <c r="C634" s="113">
        <f>5-1+1.25</f>
        <v>5.25</v>
      </c>
      <c r="D634" s="113">
        <f t="shared" si="215"/>
        <v>0</v>
      </c>
      <c r="E634" s="66">
        <f t="shared" si="216"/>
        <v>0</v>
      </c>
      <c r="F634" s="114"/>
      <c r="G634" s="102">
        <f>2-0.75+0.75+3</f>
        <v>5</v>
      </c>
      <c r="H634" s="68">
        <f>0.25-0.25+0.25</f>
        <v>0.25</v>
      </c>
    </row>
    <row r="635" spans="1:8" x14ac:dyDescent="0.25">
      <c r="A635" s="61">
        <v>7</v>
      </c>
      <c r="B635" s="226" t="s">
        <v>45</v>
      </c>
      <c r="C635" s="113">
        <v>1.75</v>
      </c>
      <c r="D635" s="113">
        <f t="shared" si="215"/>
        <v>0</v>
      </c>
      <c r="E635" s="66">
        <f t="shared" si="216"/>
        <v>0</v>
      </c>
      <c r="F635" s="114"/>
      <c r="G635" s="60"/>
      <c r="H635" s="68">
        <v>1.75</v>
      </c>
    </row>
    <row r="636" spans="1:8" ht="25.5" x14ac:dyDescent="0.25">
      <c r="A636" s="61">
        <v>8</v>
      </c>
      <c r="B636" s="226" t="s">
        <v>199</v>
      </c>
      <c r="C636" s="113">
        <v>4.75</v>
      </c>
      <c r="D636" s="113">
        <f t="shared" si="215"/>
        <v>0</v>
      </c>
      <c r="E636" s="66">
        <f t="shared" si="216"/>
        <v>0</v>
      </c>
      <c r="F636" s="114"/>
      <c r="G636" s="238">
        <f>1+3.75</f>
        <v>4.75</v>
      </c>
      <c r="H636" s="68"/>
    </row>
    <row r="637" spans="1:8" x14ac:dyDescent="0.25">
      <c r="A637" s="61"/>
      <c r="B637" s="239" t="s">
        <v>484</v>
      </c>
      <c r="C637" s="240">
        <f t="shared" ref="C637:H637" si="217">SUM(C632:C636)</f>
        <v>16.75</v>
      </c>
      <c r="D637" s="240">
        <f t="shared" si="217"/>
        <v>0</v>
      </c>
      <c r="E637" s="240">
        <f t="shared" si="217"/>
        <v>0</v>
      </c>
      <c r="F637" s="241">
        <f t="shared" si="217"/>
        <v>0</v>
      </c>
      <c r="G637" s="240">
        <f t="shared" si="217"/>
        <v>11</v>
      </c>
      <c r="H637" s="240">
        <f t="shared" si="217"/>
        <v>5.75</v>
      </c>
    </row>
    <row r="638" spans="1:8" x14ac:dyDescent="0.25">
      <c r="A638" s="5"/>
      <c r="B638" s="107" t="s">
        <v>201</v>
      </c>
      <c r="C638" s="235"/>
      <c r="D638" s="231"/>
      <c r="E638" s="231"/>
      <c r="F638" s="232"/>
      <c r="G638" s="60"/>
      <c r="H638" s="61"/>
    </row>
    <row r="639" spans="1:8" x14ac:dyDescent="0.25">
      <c r="A639" s="111">
        <v>10</v>
      </c>
      <c r="B639" s="226" t="s">
        <v>197</v>
      </c>
      <c r="C639" s="113">
        <v>10.5</v>
      </c>
      <c r="D639" s="113">
        <f>C639-G639-H639</f>
        <v>1</v>
      </c>
      <c r="E639" s="66">
        <f>D639-F639</f>
        <v>1</v>
      </c>
      <c r="F639" s="114"/>
      <c r="G639" s="60">
        <f>3.25+5.25</f>
        <v>8.5</v>
      </c>
      <c r="H639" s="68">
        <v>1</v>
      </c>
    </row>
    <row r="640" spans="1:8" x14ac:dyDescent="0.25">
      <c r="A640" s="111">
        <v>11</v>
      </c>
      <c r="B640" s="226" t="s">
        <v>198</v>
      </c>
      <c r="C640" s="113">
        <f>11-0.25</f>
        <v>10.75</v>
      </c>
      <c r="D640" s="113">
        <f>C640-G640-H640</f>
        <v>1</v>
      </c>
      <c r="E640" s="66">
        <f>D640-F640</f>
        <v>1</v>
      </c>
      <c r="F640" s="114"/>
      <c r="G640" s="102">
        <f>2.25+7</f>
        <v>9.25</v>
      </c>
      <c r="H640" s="68">
        <v>0.5</v>
      </c>
    </row>
    <row r="641" spans="1:9" x14ac:dyDescent="0.25">
      <c r="A641" s="111">
        <v>12</v>
      </c>
      <c r="B641" s="226" t="s">
        <v>45</v>
      </c>
      <c r="C641" s="113">
        <v>3</v>
      </c>
      <c r="D641" s="113">
        <f>C641-G641-H641</f>
        <v>0</v>
      </c>
      <c r="E641" s="66">
        <f>D641-F641</f>
        <v>0</v>
      </c>
      <c r="F641" s="114"/>
      <c r="G641" s="60"/>
      <c r="H641" s="68">
        <v>3</v>
      </c>
    </row>
    <row r="642" spans="1:9" ht="25.5" x14ac:dyDescent="0.25">
      <c r="A642" s="111">
        <v>13</v>
      </c>
      <c r="B642" s="226" t="s">
        <v>199</v>
      </c>
      <c r="C642" s="113">
        <f>5+5</f>
        <v>10</v>
      </c>
      <c r="D642" s="113">
        <f>C642-G642-H642</f>
        <v>1</v>
      </c>
      <c r="E642" s="66">
        <f>D642-F642</f>
        <v>1</v>
      </c>
      <c r="F642" s="114"/>
      <c r="G642" s="238">
        <f>4+5</f>
        <v>9</v>
      </c>
      <c r="H642" s="68"/>
    </row>
    <row r="643" spans="1:9" ht="25.5" x14ac:dyDescent="0.25">
      <c r="A643" s="242"/>
      <c r="B643" s="243" t="s">
        <v>580</v>
      </c>
      <c r="C643" s="244">
        <f t="shared" ref="C643:H643" si="218">SUM(C639:C642)</f>
        <v>34.25</v>
      </c>
      <c r="D643" s="244">
        <f t="shared" si="218"/>
        <v>3</v>
      </c>
      <c r="E643" s="244">
        <f t="shared" si="218"/>
        <v>3</v>
      </c>
      <c r="F643" s="245">
        <f t="shared" si="218"/>
        <v>0</v>
      </c>
      <c r="G643" s="244">
        <f t="shared" si="218"/>
        <v>26.75</v>
      </c>
      <c r="H643" s="244">
        <f t="shared" si="218"/>
        <v>4.5</v>
      </c>
    </row>
    <row r="644" spans="1:9" x14ac:dyDescent="0.25">
      <c r="A644" s="242"/>
      <c r="B644" s="243" t="s">
        <v>200</v>
      </c>
      <c r="C644" s="244">
        <f t="shared" ref="C644:H644" si="219">C628+C629+C630+C637+C643</f>
        <v>58</v>
      </c>
      <c r="D644" s="244">
        <f t="shared" si="219"/>
        <v>3</v>
      </c>
      <c r="E644" s="244">
        <f t="shared" si="219"/>
        <v>3</v>
      </c>
      <c r="F644" s="245">
        <f t="shared" si="219"/>
        <v>0</v>
      </c>
      <c r="G644" s="244">
        <f t="shared" si="219"/>
        <v>44.75</v>
      </c>
      <c r="H644" s="244">
        <f t="shared" si="219"/>
        <v>10.25</v>
      </c>
    </row>
    <row r="645" spans="1:9" ht="28.5" x14ac:dyDescent="0.25">
      <c r="A645" s="36"/>
      <c r="B645" s="246" t="s">
        <v>202</v>
      </c>
      <c r="C645" s="247">
        <f t="shared" ref="C645:H645" si="220">C644+C625</f>
        <v>62.75</v>
      </c>
      <c r="D645" s="247">
        <f t="shared" si="220"/>
        <v>4</v>
      </c>
      <c r="E645" s="247">
        <f t="shared" si="220"/>
        <v>4</v>
      </c>
      <c r="F645" s="248">
        <f t="shared" si="220"/>
        <v>0</v>
      </c>
      <c r="G645" s="247">
        <f t="shared" si="220"/>
        <v>48.5</v>
      </c>
      <c r="H645" s="247">
        <f t="shared" si="220"/>
        <v>10.25</v>
      </c>
      <c r="I645" s="3">
        <f>SUM(E645:H645)</f>
        <v>62.75</v>
      </c>
    </row>
    <row r="646" spans="1:9" x14ac:dyDescent="0.25">
      <c r="A646" s="36"/>
      <c r="B646" s="249" t="s">
        <v>131</v>
      </c>
      <c r="C646" s="250">
        <f t="shared" ref="C646:I646" si="221">SUM(C647:C650)</f>
        <v>62.75</v>
      </c>
      <c r="D646" s="250">
        <f t="shared" si="221"/>
        <v>4</v>
      </c>
      <c r="E646" s="250">
        <f t="shared" si="221"/>
        <v>4</v>
      </c>
      <c r="F646" s="251">
        <f t="shared" si="221"/>
        <v>0</v>
      </c>
      <c r="G646" s="250">
        <f t="shared" si="221"/>
        <v>48.5</v>
      </c>
      <c r="H646" s="250">
        <f t="shared" si="221"/>
        <v>10.25</v>
      </c>
      <c r="I646" s="19">
        <f t="shared" si="221"/>
        <v>62.75</v>
      </c>
    </row>
    <row r="647" spans="1:9" x14ac:dyDescent="0.25">
      <c r="A647" s="36"/>
      <c r="B647" s="157" t="s">
        <v>110</v>
      </c>
      <c r="C647" s="247">
        <f t="shared" ref="C647:H647" si="222">C620+C628+C639+C629+C621+C632+C633</f>
        <v>18.5</v>
      </c>
      <c r="D647" s="247">
        <f t="shared" si="222"/>
        <v>1</v>
      </c>
      <c r="E647" s="247">
        <f t="shared" si="222"/>
        <v>1</v>
      </c>
      <c r="F647" s="248">
        <f t="shared" si="222"/>
        <v>0</v>
      </c>
      <c r="G647" s="247">
        <f t="shared" si="222"/>
        <v>12.75</v>
      </c>
      <c r="H647" s="247">
        <f t="shared" si="222"/>
        <v>4.75</v>
      </c>
      <c r="I647" s="3">
        <f>SUM(E647:H647)</f>
        <v>18.5</v>
      </c>
    </row>
    <row r="648" spans="1:9" x14ac:dyDescent="0.25">
      <c r="A648" s="36"/>
      <c r="B648" s="157" t="s">
        <v>203</v>
      </c>
      <c r="C648" s="247">
        <f>C622+C630+C634+C640</f>
        <v>23</v>
      </c>
      <c r="D648" s="247">
        <f t="shared" ref="D648:H648" si="223">D622+D630+D634+D640</f>
        <v>1</v>
      </c>
      <c r="E648" s="247">
        <f t="shared" si="223"/>
        <v>1</v>
      </c>
      <c r="F648" s="247">
        <f t="shared" si="223"/>
        <v>0</v>
      </c>
      <c r="G648" s="247">
        <f t="shared" si="223"/>
        <v>21.25</v>
      </c>
      <c r="H648" s="247">
        <f t="shared" si="223"/>
        <v>0.75</v>
      </c>
      <c r="I648" s="3">
        <f t="shared" ref="I648:I650" si="224">SUM(E648:H648)</f>
        <v>23</v>
      </c>
    </row>
    <row r="649" spans="1:9" x14ac:dyDescent="0.25">
      <c r="A649" s="36"/>
      <c r="B649" s="157" t="s">
        <v>204</v>
      </c>
      <c r="C649" s="247">
        <f t="shared" ref="C649:H650" si="225">C623+C635+C641</f>
        <v>5.5</v>
      </c>
      <c r="D649" s="247">
        <f t="shared" si="225"/>
        <v>0</v>
      </c>
      <c r="E649" s="247">
        <f t="shared" si="225"/>
        <v>0</v>
      </c>
      <c r="F649" s="248">
        <f t="shared" si="225"/>
        <v>0</v>
      </c>
      <c r="G649" s="247">
        <f t="shared" si="225"/>
        <v>0.75</v>
      </c>
      <c r="H649" s="247">
        <f t="shared" si="225"/>
        <v>4.75</v>
      </c>
      <c r="I649" s="3">
        <f t="shared" si="224"/>
        <v>5.5</v>
      </c>
    </row>
    <row r="650" spans="1:9" x14ac:dyDescent="0.25">
      <c r="A650" s="36"/>
      <c r="B650" s="157" t="s">
        <v>205</v>
      </c>
      <c r="C650" s="247">
        <f t="shared" si="225"/>
        <v>15.75</v>
      </c>
      <c r="D650" s="247">
        <f t="shared" si="225"/>
        <v>2</v>
      </c>
      <c r="E650" s="247">
        <f t="shared" si="225"/>
        <v>2</v>
      </c>
      <c r="F650" s="248">
        <f t="shared" si="225"/>
        <v>0</v>
      </c>
      <c r="G650" s="247">
        <f t="shared" si="225"/>
        <v>13.75</v>
      </c>
      <c r="H650" s="247">
        <f t="shared" si="225"/>
        <v>0</v>
      </c>
      <c r="I650" s="3">
        <f t="shared" si="224"/>
        <v>15.75</v>
      </c>
    </row>
    <row r="651" spans="1:9" ht="15.75" x14ac:dyDescent="0.25">
      <c r="A651" s="61"/>
      <c r="B651" s="252" t="s">
        <v>581</v>
      </c>
      <c r="C651" s="66"/>
      <c r="D651" s="66"/>
      <c r="E651" s="66"/>
      <c r="F651" s="67"/>
      <c r="G651" s="60"/>
      <c r="H651" s="61"/>
    </row>
    <row r="652" spans="1:9" ht="15.75" x14ac:dyDescent="0.25">
      <c r="A652" s="61"/>
      <c r="B652" s="252" t="s">
        <v>504</v>
      </c>
      <c r="C652" s="66"/>
      <c r="D652" s="66"/>
      <c r="E652" s="66"/>
      <c r="F652" s="67"/>
      <c r="G652" s="60"/>
      <c r="H652" s="61"/>
    </row>
    <row r="653" spans="1:9" x14ac:dyDescent="0.25">
      <c r="A653" s="61"/>
      <c r="B653" s="253" t="s">
        <v>15</v>
      </c>
      <c r="C653" s="35"/>
      <c r="D653" s="35"/>
      <c r="E653" s="35"/>
      <c r="F653" s="143"/>
      <c r="G653" s="60"/>
      <c r="H653" s="61"/>
    </row>
    <row r="654" spans="1:9" ht="26.25" x14ac:dyDescent="0.25">
      <c r="A654" s="61">
        <v>1</v>
      </c>
      <c r="B654" s="88" t="s">
        <v>206</v>
      </c>
      <c r="C654" s="167">
        <v>0.5</v>
      </c>
      <c r="D654" s="167">
        <f t="shared" ref="D654:D659" si="226">C654-G654-H654</f>
        <v>0.5</v>
      </c>
      <c r="E654" s="66">
        <f t="shared" ref="E654:E659" si="227">D654-F654</f>
        <v>0.5</v>
      </c>
      <c r="F654" s="168"/>
      <c r="G654" s="61"/>
      <c r="H654" s="68"/>
    </row>
    <row r="655" spans="1:9" ht="26.25" x14ac:dyDescent="0.25">
      <c r="A655" s="61">
        <v>2</v>
      </c>
      <c r="B655" s="88" t="s">
        <v>207</v>
      </c>
      <c r="C655" s="167">
        <v>1</v>
      </c>
      <c r="D655" s="167">
        <f t="shared" si="226"/>
        <v>0.5</v>
      </c>
      <c r="E655" s="66">
        <f t="shared" si="227"/>
        <v>0.5</v>
      </c>
      <c r="F655" s="168"/>
      <c r="G655" s="68">
        <v>0.5</v>
      </c>
      <c r="H655" s="68"/>
    </row>
    <row r="656" spans="1:9" x14ac:dyDescent="0.25">
      <c r="A656" s="61">
        <v>3</v>
      </c>
      <c r="B656" s="65" t="s">
        <v>56</v>
      </c>
      <c r="C656" s="167">
        <v>0.5</v>
      </c>
      <c r="D656" s="167">
        <f t="shared" si="226"/>
        <v>0.25</v>
      </c>
      <c r="E656" s="66">
        <f t="shared" si="227"/>
        <v>0.25</v>
      </c>
      <c r="F656" s="168"/>
      <c r="G656" s="61">
        <v>0.25</v>
      </c>
      <c r="H656" s="68"/>
    </row>
    <row r="657" spans="1:8" x14ac:dyDescent="0.25">
      <c r="A657" s="61">
        <v>4</v>
      </c>
      <c r="B657" s="65" t="s">
        <v>66</v>
      </c>
      <c r="C657" s="167">
        <v>0.5</v>
      </c>
      <c r="D657" s="167">
        <f t="shared" si="226"/>
        <v>0.25</v>
      </c>
      <c r="E657" s="66">
        <f t="shared" si="227"/>
        <v>0.25</v>
      </c>
      <c r="F657" s="168"/>
      <c r="G657" s="61">
        <v>0.25</v>
      </c>
      <c r="H657" s="68"/>
    </row>
    <row r="658" spans="1:8" x14ac:dyDescent="0.25">
      <c r="A658" s="61">
        <v>5</v>
      </c>
      <c r="B658" s="65" t="s">
        <v>43</v>
      </c>
      <c r="C658" s="167">
        <v>1</v>
      </c>
      <c r="D658" s="167">
        <f t="shared" si="226"/>
        <v>0.5</v>
      </c>
      <c r="E658" s="66">
        <f t="shared" si="227"/>
        <v>0.5</v>
      </c>
      <c r="F658" s="168"/>
      <c r="G658" s="68">
        <v>0.5</v>
      </c>
      <c r="H658" s="68"/>
    </row>
    <row r="659" spans="1:8" x14ac:dyDescent="0.25">
      <c r="A659" s="61">
        <v>6</v>
      </c>
      <c r="B659" s="76" t="s">
        <v>208</v>
      </c>
      <c r="C659" s="167">
        <f>1-0.5+0.5</f>
        <v>1</v>
      </c>
      <c r="D659" s="167">
        <f t="shared" si="226"/>
        <v>0.5</v>
      </c>
      <c r="E659" s="66">
        <f t="shared" si="227"/>
        <v>0.5</v>
      </c>
      <c r="F659" s="168"/>
      <c r="G659" s="68">
        <v>0.5</v>
      </c>
      <c r="H659" s="68"/>
    </row>
    <row r="660" spans="1:8" x14ac:dyDescent="0.25">
      <c r="A660" s="61"/>
      <c r="B660" s="254" t="s">
        <v>20</v>
      </c>
      <c r="C660" s="73">
        <f t="shared" ref="C660:H660" si="228">SUM(C654:C659)</f>
        <v>4.5</v>
      </c>
      <c r="D660" s="73">
        <f t="shared" si="228"/>
        <v>2.5</v>
      </c>
      <c r="E660" s="73">
        <f t="shared" si="228"/>
        <v>2.5</v>
      </c>
      <c r="F660" s="74">
        <f t="shared" si="228"/>
        <v>0</v>
      </c>
      <c r="G660" s="73">
        <f t="shared" si="228"/>
        <v>2</v>
      </c>
      <c r="H660" s="73">
        <f t="shared" si="228"/>
        <v>0</v>
      </c>
    </row>
    <row r="661" spans="1:8" x14ac:dyDescent="0.25">
      <c r="A661" s="61"/>
      <c r="B661" s="33" t="s">
        <v>46</v>
      </c>
      <c r="C661" s="73"/>
      <c r="D661" s="73"/>
      <c r="E661" s="73"/>
      <c r="F661" s="74"/>
      <c r="G661" s="61"/>
      <c r="H661" s="61"/>
    </row>
    <row r="662" spans="1:8" x14ac:dyDescent="0.25">
      <c r="A662" s="134">
        <v>1</v>
      </c>
      <c r="B662" s="65" t="s">
        <v>24</v>
      </c>
      <c r="C662" s="167">
        <f>2-1</f>
        <v>1</v>
      </c>
      <c r="D662" s="167">
        <f>C662-G662-H662</f>
        <v>0.75</v>
      </c>
      <c r="E662" s="66">
        <f>D662-F662</f>
        <v>0.75</v>
      </c>
      <c r="F662" s="168"/>
      <c r="G662" s="61">
        <v>0.25</v>
      </c>
      <c r="H662" s="68"/>
    </row>
    <row r="663" spans="1:8" x14ac:dyDescent="0.25">
      <c r="A663" s="61"/>
      <c r="B663" s="254" t="s">
        <v>20</v>
      </c>
      <c r="C663" s="73">
        <f t="shared" ref="C663:H663" si="229">SUM(C662:C662)</f>
        <v>1</v>
      </c>
      <c r="D663" s="73">
        <f t="shared" si="229"/>
        <v>0.75</v>
      </c>
      <c r="E663" s="73">
        <f t="shared" si="229"/>
        <v>0.75</v>
      </c>
      <c r="F663" s="74">
        <f t="shared" si="229"/>
        <v>0</v>
      </c>
      <c r="G663" s="73">
        <f t="shared" si="229"/>
        <v>0.25</v>
      </c>
      <c r="H663" s="73">
        <f t="shared" si="229"/>
        <v>0</v>
      </c>
    </row>
    <row r="664" spans="1:8" x14ac:dyDescent="0.25">
      <c r="A664" s="61"/>
      <c r="B664" s="254"/>
      <c r="C664" s="73"/>
      <c r="D664" s="73"/>
      <c r="E664" s="73"/>
      <c r="F664" s="74"/>
      <c r="G664" s="73"/>
      <c r="H664" s="73"/>
    </row>
    <row r="665" spans="1:8" x14ac:dyDescent="0.25">
      <c r="A665" s="61"/>
      <c r="B665" s="33" t="s">
        <v>136</v>
      </c>
      <c r="C665" s="63"/>
      <c r="D665" s="63"/>
      <c r="E665" s="63"/>
      <c r="F665" s="64"/>
      <c r="G665" s="61"/>
      <c r="H665" s="61"/>
    </row>
    <row r="666" spans="1:8" x14ac:dyDescent="0.25">
      <c r="A666" s="672" t="s">
        <v>582</v>
      </c>
      <c r="B666" s="672"/>
      <c r="C666" s="672"/>
      <c r="D666" s="255"/>
      <c r="E666" s="255"/>
      <c r="F666" s="256"/>
      <c r="G666" s="61"/>
      <c r="H666" s="61"/>
    </row>
    <row r="667" spans="1:8" x14ac:dyDescent="0.25">
      <c r="A667" s="56">
        <v>1</v>
      </c>
      <c r="B667" s="76" t="s">
        <v>209</v>
      </c>
      <c r="C667" s="68">
        <v>1</v>
      </c>
      <c r="D667" s="68">
        <f t="shared" ref="D667:D674" si="230">C667-G667-H667</f>
        <v>0.75</v>
      </c>
      <c r="E667" s="66">
        <f t="shared" ref="E667:E674" si="231">D667-F667</f>
        <v>0</v>
      </c>
      <c r="F667" s="71">
        <v>0.75</v>
      </c>
      <c r="G667" s="61">
        <v>0.25</v>
      </c>
      <c r="H667" s="68"/>
    </row>
    <row r="668" spans="1:8" x14ac:dyDescent="0.25">
      <c r="A668" s="56">
        <v>2</v>
      </c>
      <c r="B668" s="76" t="s">
        <v>32</v>
      </c>
      <c r="C668" s="68">
        <v>3</v>
      </c>
      <c r="D668" s="68">
        <f t="shared" si="230"/>
        <v>0.75</v>
      </c>
      <c r="E668" s="66">
        <f t="shared" si="231"/>
        <v>0</v>
      </c>
      <c r="F668" s="71">
        <v>0.75</v>
      </c>
      <c r="G668" s="68">
        <f>2+0.25</f>
        <v>2.25</v>
      </c>
      <c r="H668" s="68"/>
    </row>
    <row r="669" spans="1:8" x14ac:dyDescent="0.25">
      <c r="A669" s="61">
        <v>3</v>
      </c>
      <c r="B669" s="86" t="s">
        <v>147</v>
      </c>
      <c r="C669" s="68">
        <v>0.5</v>
      </c>
      <c r="D669" s="68">
        <f t="shared" si="230"/>
        <v>0</v>
      </c>
      <c r="E669" s="66">
        <f t="shared" si="231"/>
        <v>0</v>
      </c>
      <c r="F669" s="71"/>
      <c r="G669" s="61">
        <v>0.25</v>
      </c>
      <c r="H669" s="68">
        <v>0.25</v>
      </c>
    </row>
    <row r="670" spans="1:8" x14ac:dyDescent="0.25">
      <c r="A670" s="61">
        <v>4</v>
      </c>
      <c r="B670" s="76" t="s">
        <v>53</v>
      </c>
      <c r="C670" s="68">
        <v>1</v>
      </c>
      <c r="D670" s="68">
        <f t="shared" si="230"/>
        <v>1</v>
      </c>
      <c r="E670" s="66">
        <f t="shared" si="231"/>
        <v>0</v>
      </c>
      <c r="F670" s="71">
        <v>1</v>
      </c>
      <c r="G670" s="61"/>
      <c r="H670" s="68"/>
    </row>
    <row r="671" spans="1:8" x14ac:dyDescent="0.25">
      <c r="A671" s="56">
        <v>5</v>
      </c>
      <c r="B671" s="76" t="s">
        <v>210</v>
      </c>
      <c r="C671" s="68">
        <f>6-0.5+1-1</f>
        <v>5.5</v>
      </c>
      <c r="D671" s="68">
        <f t="shared" si="230"/>
        <v>1.75</v>
      </c>
      <c r="E671" s="66">
        <f t="shared" si="231"/>
        <v>0</v>
      </c>
      <c r="F671" s="71">
        <v>1.75</v>
      </c>
      <c r="G671" s="68">
        <f>2.25+0.5+0.25</f>
        <v>3</v>
      </c>
      <c r="H671" s="68">
        <f>1-0.25</f>
        <v>0.75</v>
      </c>
    </row>
    <row r="672" spans="1:8" x14ac:dyDescent="0.25">
      <c r="A672" s="56">
        <v>6</v>
      </c>
      <c r="B672" s="76" t="s">
        <v>94</v>
      </c>
      <c r="C672" s="68">
        <v>1</v>
      </c>
      <c r="D672" s="68">
        <f t="shared" si="230"/>
        <v>0</v>
      </c>
      <c r="E672" s="66">
        <f t="shared" si="231"/>
        <v>0</v>
      </c>
      <c r="F672" s="71"/>
      <c r="G672" s="68">
        <v>1</v>
      </c>
      <c r="H672" s="68"/>
    </row>
    <row r="673" spans="1:8" x14ac:dyDescent="0.25">
      <c r="A673" s="56">
        <v>7</v>
      </c>
      <c r="B673" s="76" t="s">
        <v>44</v>
      </c>
      <c r="C673" s="68">
        <v>1</v>
      </c>
      <c r="D673" s="68">
        <f t="shared" si="230"/>
        <v>0.75</v>
      </c>
      <c r="E673" s="66">
        <f t="shared" si="231"/>
        <v>0</v>
      </c>
      <c r="F673" s="71">
        <v>0.75</v>
      </c>
      <c r="G673" s="68">
        <v>0.25</v>
      </c>
      <c r="H673" s="68"/>
    </row>
    <row r="674" spans="1:8" x14ac:dyDescent="0.25">
      <c r="A674" s="56">
        <v>8</v>
      </c>
      <c r="B674" s="76" t="s">
        <v>45</v>
      </c>
      <c r="C674" s="68">
        <v>6.5</v>
      </c>
      <c r="D674" s="68">
        <f t="shared" si="230"/>
        <v>1.25</v>
      </c>
      <c r="E674" s="66">
        <f t="shared" si="231"/>
        <v>0</v>
      </c>
      <c r="F674" s="71">
        <v>1.25</v>
      </c>
      <c r="G674" s="68">
        <f>3+0.25+0.5</f>
        <v>3.75</v>
      </c>
      <c r="H674" s="68">
        <f>2-0.5</f>
        <v>1.5</v>
      </c>
    </row>
    <row r="675" spans="1:8" x14ac:dyDescent="0.25">
      <c r="A675" s="56"/>
      <c r="B675" s="72" t="s">
        <v>57</v>
      </c>
      <c r="C675" s="73">
        <f t="shared" ref="C675:H675" si="232">SUM(C667:C674)</f>
        <v>19.5</v>
      </c>
      <c r="D675" s="73">
        <f t="shared" si="232"/>
        <v>6.25</v>
      </c>
      <c r="E675" s="73">
        <f t="shared" si="232"/>
        <v>0</v>
      </c>
      <c r="F675" s="74">
        <f t="shared" si="232"/>
        <v>6.25</v>
      </c>
      <c r="G675" s="73">
        <f t="shared" si="232"/>
        <v>10.75</v>
      </c>
      <c r="H675" s="73">
        <f t="shared" si="232"/>
        <v>2.5</v>
      </c>
    </row>
    <row r="676" spans="1:8" x14ac:dyDescent="0.25">
      <c r="A676" s="56"/>
      <c r="B676" s="72"/>
      <c r="C676" s="83">
        <f t="shared" ref="C676:H676" si="233">SUM(C677:C679)</f>
        <v>19.5</v>
      </c>
      <c r="D676" s="83">
        <f t="shared" si="233"/>
        <v>6.25</v>
      </c>
      <c r="E676" s="83">
        <f t="shared" si="233"/>
        <v>0</v>
      </c>
      <c r="F676" s="84">
        <f t="shared" si="233"/>
        <v>6.25</v>
      </c>
      <c r="G676" s="83">
        <f t="shared" si="233"/>
        <v>10.75</v>
      </c>
      <c r="H676" s="83">
        <f t="shared" si="233"/>
        <v>2.5</v>
      </c>
    </row>
    <row r="677" spans="1:8" x14ac:dyDescent="0.25">
      <c r="A677" s="61"/>
      <c r="B677" s="82" t="s">
        <v>211</v>
      </c>
      <c r="C677" s="73">
        <f t="shared" ref="C677:H677" si="234">SUM(C667:C669)</f>
        <v>4.5</v>
      </c>
      <c r="D677" s="73">
        <f t="shared" si="234"/>
        <v>1.5</v>
      </c>
      <c r="E677" s="73">
        <f t="shared" si="234"/>
        <v>0</v>
      </c>
      <c r="F677" s="74">
        <f t="shared" si="234"/>
        <v>1.5</v>
      </c>
      <c r="G677" s="73">
        <f t="shared" si="234"/>
        <v>2.75</v>
      </c>
      <c r="H677" s="73">
        <f t="shared" si="234"/>
        <v>0.25</v>
      </c>
    </row>
    <row r="678" spans="1:8" x14ac:dyDescent="0.25">
      <c r="A678" s="61"/>
      <c r="B678" s="82" t="s">
        <v>583</v>
      </c>
      <c r="C678" s="73">
        <f t="shared" ref="C678:H678" si="235">SUM(C670:C672)</f>
        <v>7.5</v>
      </c>
      <c r="D678" s="73">
        <f t="shared" si="235"/>
        <v>2.75</v>
      </c>
      <c r="E678" s="73">
        <f t="shared" si="235"/>
        <v>0</v>
      </c>
      <c r="F678" s="74">
        <f t="shared" si="235"/>
        <v>2.75</v>
      </c>
      <c r="G678" s="73">
        <f t="shared" si="235"/>
        <v>4</v>
      </c>
      <c r="H678" s="73">
        <f t="shared" si="235"/>
        <v>0.75</v>
      </c>
    </row>
    <row r="679" spans="1:8" x14ac:dyDescent="0.25">
      <c r="A679" s="61"/>
      <c r="B679" s="82" t="s">
        <v>179</v>
      </c>
      <c r="C679" s="73">
        <f t="shared" ref="C679:H679" si="236">SUM(C673:C674)</f>
        <v>7.5</v>
      </c>
      <c r="D679" s="73">
        <f t="shared" si="236"/>
        <v>2</v>
      </c>
      <c r="E679" s="73">
        <f t="shared" si="236"/>
        <v>0</v>
      </c>
      <c r="F679" s="74">
        <f t="shared" si="236"/>
        <v>2</v>
      </c>
      <c r="G679" s="73">
        <f t="shared" si="236"/>
        <v>4</v>
      </c>
      <c r="H679" s="73">
        <f t="shared" si="236"/>
        <v>1.5</v>
      </c>
    </row>
    <row r="680" spans="1:8" x14ac:dyDescent="0.25">
      <c r="A680" s="61"/>
      <c r="B680" s="82"/>
      <c r="C680" s="73"/>
      <c r="D680" s="73"/>
      <c r="E680" s="73"/>
      <c r="F680" s="74"/>
      <c r="G680" s="60"/>
      <c r="H680" s="61"/>
    </row>
    <row r="681" spans="1:8" x14ac:dyDescent="0.25">
      <c r="A681" s="61"/>
      <c r="B681" s="33" t="s">
        <v>584</v>
      </c>
      <c r="C681" s="73"/>
      <c r="D681" s="73"/>
      <c r="E681" s="73"/>
      <c r="F681" s="74"/>
      <c r="G681" s="60"/>
      <c r="H681" s="61"/>
    </row>
    <row r="682" spans="1:8" x14ac:dyDescent="0.25">
      <c r="A682" s="61"/>
      <c r="B682" s="33" t="s">
        <v>505</v>
      </c>
      <c r="C682" s="73"/>
      <c r="D682" s="73"/>
      <c r="E682" s="73"/>
      <c r="F682" s="74"/>
      <c r="G682" s="60"/>
      <c r="H682" s="61"/>
    </row>
    <row r="683" spans="1:8" x14ac:dyDescent="0.25">
      <c r="A683" s="56">
        <v>1</v>
      </c>
      <c r="B683" s="76" t="s">
        <v>209</v>
      </c>
      <c r="C683" s="68">
        <v>1</v>
      </c>
      <c r="D683" s="68">
        <f t="shared" ref="D683:D689" si="237">C683-G683-H683</f>
        <v>0</v>
      </c>
      <c r="E683" s="66">
        <f t="shared" ref="E683:E689" si="238">D683-F683</f>
        <v>0</v>
      </c>
      <c r="F683" s="71"/>
      <c r="G683" s="60">
        <v>0.25</v>
      </c>
      <c r="H683" s="68">
        <f>1-0.25</f>
        <v>0.75</v>
      </c>
    </row>
    <row r="684" spans="1:8" x14ac:dyDescent="0.25">
      <c r="A684" s="56">
        <v>2</v>
      </c>
      <c r="B684" s="76" t="s">
        <v>32</v>
      </c>
      <c r="C684" s="68">
        <v>0.5</v>
      </c>
      <c r="D684" s="68">
        <f t="shared" si="237"/>
        <v>0</v>
      </c>
      <c r="E684" s="66">
        <f t="shared" si="238"/>
        <v>0</v>
      </c>
      <c r="F684" s="71"/>
      <c r="G684" s="60"/>
      <c r="H684" s="68">
        <v>0.5</v>
      </c>
    </row>
    <row r="685" spans="1:8" x14ac:dyDescent="0.25">
      <c r="A685" s="61">
        <v>3</v>
      </c>
      <c r="B685" s="86" t="s">
        <v>70</v>
      </c>
      <c r="C685" s="68">
        <v>1</v>
      </c>
      <c r="D685" s="68">
        <f t="shared" si="237"/>
        <v>0</v>
      </c>
      <c r="E685" s="66">
        <f t="shared" si="238"/>
        <v>0</v>
      </c>
      <c r="F685" s="71"/>
      <c r="G685" s="60">
        <v>0.25</v>
      </c>
      <c r="H685" s="68">
        <f>1-0.25</f>
        <v>0.75</v>
      </c>
    </row>
    <row r="686" spans="1:8" x14ac:dyDescent="0.25">
      <c r="A686" s="61">
        <v>4</v>
      </c>
      <c r="B686" s="76" t="s">
        <v>53</v>
      </c>
      <c r="C686" s="68">
        <v>1</v>
      </c>
      <c r="D686" s="68">
        <f t="shared" si="237"/>
        <v>0</v>
      </c>
      <c r="E686" s="66">
        <f t="shared" si="238"/>
        <v>0</v>
      </c>
      <c r="F686" s="71"/>
      <c r="G686" s="60">
        <v>0.25</v>
      </c>
      <c r="H686" s="68">
        <f>1-0.25</f>
        <v>0.75</v>
      </c>
    </row>
    <row r="687" spans="1:8" x14ac:dyDescent="0.25">
      <c r="A687" s="56">
        <v>5</v>
      </c>
      <c r="B687" s="76" t="s">
        <v>210</v>
      </c>
      <c r="C687" s="68">
        <v>4.75</v>
      </c>
      <c r="D687" s="68">
        <f t="shared" si="237"/>
        <v>0</v>
      </c>
      <c r="E687" s="66">
        <f t="shared" si="238"/>
        <v>0</v>
      </c>
      <c r="F687" s="71"/>
      <c r="G687" s="102">
        <f>0.5+0.5</f>
        <v>1</v>
      </c>
      <c r="H687" s="68">
        <f>4.75-0.5-0.5</f>
        <v>3.75</v>
      </c>
    </row>
    <row r="688" spans="1:8" x14ac:dyDescent="0.25">
      <c r="A688" s="56">
        <v>6</v>
      </c>
      <c r="B688" s="76" t="s">
        <v>44</v>
      </c>
      <c r="C688" s="68">
        <v>1</v>
      </c>
      <c r="D688" s="68">
        <f t="shared" si="237"/>
        <v>0</v>
      </c>
      <c r="E688" s="66">
        <f t="shared" si="238"/>
        <v>0</v>
      </c>
      <c r="F688" s="71"/>
      <c r="G688" s="60">
        <v>0.25</v>
      </c>
      <c r="H688" s="68">
        <f>1-0.25</f>
        <v>0.75</v>
      </c>
    </row>
    <row r="689" spans="1:8" x14ac:dyDescent="0.25">
      <c r="A689" s="56">
        <v>7</v>
      </c>
      <c r="B689" s="76" t="s">
        <v>45</v>
      </c>
      <c r="C689" s="68">
        <f>4.25-2</f>
        <v>2.25</v>
      </c>
      <c r="D689" s="68">
        <f t="shared" si="237"/>
        <v>0</v>
      </c>
      <c r="E689" s="66">
        <f t="shared" si="238"/>
        <v>0</v>
      </c>
      <c r="F689" s="71"/>
      <c r="G689" s="60">
        <v>0.25</v>
      </c>
      <c r="H689" s="68">
        <f>4.25-0.25-2</f>
        <v>2</v>
      </c>
    </row>
    <row r="690" spans="1:8" x14ac:dyDescent="0.25">
      <c r="A690" s="56"/>
      <c r="B690" s="72" t="s">
        <v>57</v>
      </c>
      <c r="C690" s="73">
        <f t="shared" ref="C690:H690" si="239">SUM(C683:C689)</f>
        <v>11.5</v>
      </c>
      <c r="D690" s="73">
        <f t="shared" si="239"/>
        <v>0</v>
      </c>
      <c r="E690" s="73">
        <f t="shared" si="239"/>
        <v>0</v>
      </c>
      <c r="F690" s="74">
        <f t="shared" si="239"/>
        <v>0</v>
      </c>
      <c r="G690" s="73">
        <f t="shared" si="239"/>
        <v>2.25</v>
      </c>
      <c r="H690" s="73">
        <f t="shared" si="239"/>
        <v>9.25</v>
      </c>
    </row>
    <row r="691" spans="1:8" x14ac:dyDescent="0.25">
      <c r="A691" s="56"/>
      <c r="B691" s="72"/>
      <c r="C691" s="83">
        <f t="shared" ref="C691:H691" si="240">SUM(C692:C694)</f>
        <v>11.5</v>
      </c>
      <c r="D691" s="83">
        <f t="shared" si="240"/>
        <v>0</v>
      </c>
      <c r="E691" s="83">
        <f t="shared" si="240"/>
        <v>0</v>
      </c>
      <c r="F691" s="84">
        <f t="shared" si="240"/>
        <v>0</v>
      </c>
      <c r="G691" s="83">
        <f t="shared" si="240"/>
        <v>2.25</v>
      </c>
      <c r="H691" s="83">
        <f t="shared" si="240"/>
        <v>9.25</v>
      </c>
    </row>
    <row r="692" spans="1:8" x14ac:dyDescent="0.25">
      <c r="A692" s="61"/>
      <c r="B692" s="82" t="s">
        <v>211</v>
      </c>
      <c r="C692" s="73">
        <f t="shared" ref="C692:H692" si="241">SUM(C683:C685)</f>
        <v>2.5</v>
      </c>
      <c r="D692" s="73">
        <f t="shared" si="241"/>
        <v>0</v>
      </c>
      <c r="E692" s="73">
        <f t="shared" si="241"/>
        <v>0</v>
      </c>
      <c r="F692" s="74">
        <f t="shared" si="241"/>
        <v>0</v>
      </c>
      <c r="G692" s="73">
        <f t="shared" si="241"/>
        <v>0.5</v>
      </c>
      <c r="H692" s="73">
        <f t="shared" si="241"/>
        <v>2</v>
      </c>
    </row>
    <row r="693" spans="1:8" x14ac:dyDescent="0.25">
      <c r="A693" s="61"/>
      <c r="B693" s="82" t="s">
        <v>583</v>
      </c>
      <c r="C693" s="73">
        <f t="shared" ref="C693:H693" si="242">SUM(C686:C687)</f>
        <v>5.75</v>
      </c>
      <c r="D693" s="73">
        <f t="shared" si="242"/>
        <v>0</v>
      </c>
      <c r="E693" s="73">
        <f t="shared" si="242"/>
        <v>0</v>
      </c>
      <c r="F693" s="74">
        <f t="shared" si="242"/>
        <v>0</v>
      </c>
      <c r="G693" s="73">
        <f t="shared" si="242"/>
        <v>1.25</v>
      </c>
      <c r="H693" s="73">
        <f t="shared" si="242"/>
        <v>4.5</v>
      </c>
    </row>
    <row r="694" spans="1:8" x14ac:dyDescent="0.25">
      <c r="A694" s="61"/>
      <c r="B694" s="82" t="s">
        <v>179</v>
      </c>
      <c r="C694" s="73">
        <f t="shared" ref="C694:H694" si="243">SUM(C688:C689)</f>
        <v>3.25</v>
      </c>
      <c r="D694" s="73">
        <f t="shared" si="243"/>
        <v>0</v>
      </c>
      <c r="E694" s="73">
        <f t="shared" si="243"/>
        <v>0</v>
      </c>
      <c r="F694" s="74">
        <f t="shared" si="243"/>
        <v>0</v>
      </c>
      <c r="G694" s="73">
        <f t="shared" si="243"/>
        <v>0.5</v>
      </c>
      <c r="H694" s="73">
        <f t="shared" si="243"/>
        <v>2.75</v>
      </c>
    </row>
    <row r="695" spans="1:8" x14ac:dyDescent="0.25">
      <c r="A695" s="61"/>
      <c r="B695" s="33" t="s">
        <v>585</v>
      </c>
      <c r="C695" s="73"/>
      <c r="D695" s="73"/>
      <c r="E695" s="73"/>
      <c r="F695" s="74"/>
      <c r="G695" s="60"/>
      <c r="H695" s="61"/>
    </row>
    <row r="696" spans="1:8" x14ac:dyDescent="0.25">
      <c r="A696" s="61"/>
      <c r="B696" s="257" t="s">
        <v>586</v>
      </c>
      <c r="C696" s="73"/>
      <c r="D696" s="73"/>
      <c r="E696" s="73"/>
      <c r="F696" s="74"/>
      <c r="G696" s="60"/>
      <c r="H696" s="61"/>
    </row>
    <row r="697" spans="1:8" x14ac:dyDescent="0.25">
      <c r="A697" s="61">
        <v>1</v>
      </c>
      <c r="B697" s="76" t="s">
        <v>212</v>
      </c>
      <c r="C697" s="68">
        <f>1-0.25</f>
        <v>0.75</v>
      </c>
      <c r="D697" s="68">
        <f t="shared" ref="D697:D706" si="244">C697-G697-H697</f>
        <v>0.75</v>
      </c>
      <c r="E697" s="66">
        <f t="shared" ref="E697:E706" si="245">D697-F697</f>
        <v>0</v>
      </c>
      <c r="F697" s="71">
        <v>0.75</v>
      </c>
      <c r="G697" s="60">
        <f>0.25-0.25</f>
        <v>0</v>
      </c>
      <c r="H697" s="68"/>
    </row>
    <row r="698" spans="1:8" x14ac:dyDescent="0.25">
      <c r="A698" s="56">
        <v>2</v>
      </c>
      <c r="B698" s="76" t="s">
        <v>83</v>
      </c>
      <c r="C698" s="68">
        <f>1+0.25+1</f>
        <v>2.25</v>
      </c>
      <c r="D698" s="68">
        <f t="shared" si="244"/>
        <v>0.5</v>
      </c>
      <c r="E698" s="66">
        <f t="shared" si="245"/>
        <v>0</v>
      </c>
      <c r="F698" s="71">
        <v>0.5</v>
      </c>
      <c r="G698" s="60">
        <f>1+0.25+0.5</f>
        <v>1.75</v>
      </c>
      <c r="H698" s="68"/>
    </row>
    <row r="699" spans="1:8" x14ac:dyDescent="0.25">
      <c r="A699" s="61">
        <v>3</v>
      </c>
      <c r="B699" s="76" t="s">
        <v>66</v>
      </c>
      <c r="C699" s="68">
        <f>2.5-0.5</f>
        <v>2</v>
      </c>
      <c r="D699" s="68">
        <f t="shared" si="244"/>
        <v>0.75</v>
      </c>
      <c r="E699" s="66">
        <f t="shared" si="245"/>
        <v>0</v>
      </c>
      <c r="F699" s="71">
        <v>0.75</v>
      </c>
      <c r="G699" s="60">
        <f>1+0.25-0.5+0.5</f>
        <v>1.25</v>
      </c>
      <c r="H699" s="68"/>
    </row>
    <row r="700" spans="1:8" x14ac:dyDescent="0.25">
      <c r="A700" s="61">
        <v>4</v>
      </c>
      <c r="B700" s="76" t="s">
        <v>51</v>
      </c>
      <c r="C700" s="68">
        <v>1</v>
      </c>
      <c r="D700" s="68">
        <f t="shared" si="244"/>
        <v>0.5</v>
      </c>
      <c r="E700" s="66">
        <f t="shared" si="245"/>
        <v>0</v>
      </c>
      <c r="F700" s="71">
        <v>0.5</v>
      </c>
      <c r="G700" s="102">
        <v>0.5</v>
      </c>
      <c r="H700" s="68"/>
    </row>
    <row r="701" spans="1:8" x14ac:dyDescent="0.25">
      <c r="A701" s="61">
        <v>5</v>
      </c>
      <c r="B701" s="76" t="s">
        <v>53</v>
      </c>
      <c r="C701" s="68">
        <v>1</v>
      </c>
      <c r="D701" s="68">
        <f t="shared" si="244"/>
        <v>0.5</v>
      </c>
      <c r="E701" s="66">
        <f t="shared" si="245"/>
        <v>0</v>
      </c>
      <c r="F701" s="71">
        <v>0.5</v>
      </c>
      <c r="G701" s="102">
        <v>0.5</v>
      </c>
      <c r="H701" s="68"/>
    </row>
    <row r="702" spans="1:8" x14ac:dyDescent="0.25">
      <c r="A702" s="61">
        <v>6</v>
      </c>
      <c r="B702" s="76" t="s">
        <v>210</v>
      </c>
      <c r="C702" s="68">
        <v>9.5</v>
      </c>
      <c r="D702" s="68">
        <f t="shared" si="244"/>
        <v>3</v>
      </c>
      <c r="E702" s="66">
        <f t="shared" si="245"/>
        <v>0</v>
      </c>
      <c r="F702" s="71">
        <v>3</v>
      </c>
      <c r="G702" s="102">
        <f>4.25+0.75+1.5</f>
        <v>6.5</v>
      </c>
      <c r="H702" s="68"/>
    </row>
    <row r="703" spans="1:8" x14ac:dyDescent="0.25">
      <c r="A703" s="61">
        <v>7</v>
      </c>
      <c r="B703" s="76" t="s">
        <v>213</v>
      </c>
      <c r="C703" s="68">
        <v>2</v>
      </c>
      <c r="D703" s="68">
        <f t="shared" si="244"/>
        <v>0.5</v>
      </c>
      <c r="E703" s="66">
        <f t="shared" si="245"/>
        <v>0</v>
      </c>
      <c r="F703" s="71">
        <v>0.5</v>
      </c>
      <c r="G703" s="102">
        <f>1+0.25+0.25</f>
        <v>1.5</v>
      </c>
      <c r="H703" s="68"/>
    </row>
    <row r="704" spans="1:8" x14ac:dyDescent="0.25">
      <c r="A704" s="61">
        <v>8</v>
      </c>
      <c r="B704" s="76" t="s">
        <v>94</v>
      </c>
      <c r="C704" s="68">
        <v>1</v>
      </c>
      <c r="D704" s="68">
        <f t="shared" si="244"/>
        <v>0.5</v>
      </c>
      <c r="E704" s="66">
        <f t="shared" si="245"/>
        <v>0</v>
      </c>
      <c r="F704" s="71">
        <v>0.5</v>
      </c>
      <c r="G704" s="102">
        <f>0.25+0.25</f>
        <v>0.5</v>
      </c>
      <c r="H704" s="68"/>
    </row>
    <row r="705" spans="1:8" x14ac:dyDescent="0.25">
      <c r="A705" s="61">
        <v>9</v>
      </c>
      <c r="B705" s="76" t="s">
        <v>44</v>
      </c>
      <c r="C705" s="68">
        <v>1</v>
      </c>
      <c r="D705" s="68">
        <f t="shared" si="244"/>
        <v>0.25</v>
      </c>
      <c r="E705" s="66">
        <f t="shared" si="245"/>
        <v>0</v>
      </c>
      <c r="F705" s="71">
        <v>0.25</v>
      </c>
      <c r="G705" s="102">
        <f>0.25+0.5</f>
        <v>0.75</v>
      </c>
      <c r="H705" s="68"/>
    </row>
    <row r="706" spans="1:8" x14ac:dyDescent="0.25">
      <c r="A706" s="61">
        <v>10</v>
      </c>
      <c r="B706" s="76" t="s">
        <v>45</v>
      </c>
      <c r="C706" s="68">
        <v>8.75</v>
      </c>
      <c r="D706" s="68">
        <f t="shared" si="244"/>
        <v>1</v>
      </c>
      <c r="E706" s="66">
        <f t="shared" si="245"/>
        <v>0</v>
      </c>
      <c r="F706" s="71">
        <f>0.25+0.25+0.25+0.25</f>
        <v>1</v>
      </c>
      <c r="G706" s="60">
        <f>4.75+3</f>
        <v>7.75</v>
      </c>
      <c r="H706" s="68"/>
    </row>
    <row r="707" spans="1:8" x14ac:dyDescent="0.25">
      <c r="A707" s="61"/>
      <c r="B707" s="72" t="s">
        <v>57</v>
      </c>
      <c r="C707" s="73">
        <f t="shared" ref="C707:H707" si="246">SUM(C697:C706)</f>
        <v>29.25</v>
      </c>
      <c r="D707" s="73">
        <f t="shared" si="246"/>
        <v>8.25</v>
      </c>
      <c r="E707" s="73">
        <f t="shared" si="246"/>
        <v>0</v>
      </c>
      <c r="F707" s="74">
        <f t="shared" si="246"/>
        <v>8.25</v>
      </c>
      <c r="G707" s="73">
        <f t="shared" si="246"/>
        <v>21</v>
      </c>
      <c r="H707" s="73">
        <f t="shared" si="246"/>
        <v>0</v>
      </c>
    </row>
    <row r="708" spans="1:8" x14ac:dyDescent="0.25">
      <c r="A708" s="123"/>
      <c r="B708" s="72"/>
      <c r="C708" s="258">
        <f t="shared" ref="C708:H708" si="247">SUM(C709:C711)</f>
        <v>29.25</v>
      </c>
      <c r="D708" s="258">
        <f t="shared" si="247"/>
        <v>8.25</v>
      </c>
      <c r="E708" s="258">
        <f t="shared" si="247"/>
        <v>0</v>
      </c>
      <c r="F708" s="259">
        <f t="shared" si="247"/>
        <v>8.25</v>
      </c>
      <c r="G708" s="258">
        <f t="shared" si="247"/>
        <v>21</v>
      </c>
      <c r="H708" s="258">
        <f t="shared" si="247"/>
        <v>0</v>
      </c>
    </row>
    <row r="709" spans="1:8" x14ac:dyDescent="0.25">
      <c r="A709" s="123"/>
      <c r="B709" s="82" t="s">
        <v>211</v>
      </c>
      <c r="C709" s="73">
        <f t="shared" ref="C709:H709" si="248">SUM(C697:C700)</f>
        <v>6</v>
      </c>
      <c r="D709" s="73">
        <f t="shared" si="248"/>
        <v>2.5</v>
      </c>
      <c r="E709" s="73">
        <f t="shared" si="248"/>
        <v>0</v>
      </c>
      <c r="F709" s="74">
        <f t="shared" si="248"/>
        <v>2.5</v>
      </c>
      <c r="G709" s="73">
        <f t="shared" si="248"/>
        <v>3.5</v>
      </c>
      <c r="H709" s="73">
        <f t="shared" si="248"/>
        <v>0</v>
      </c>
    </row>
    <row r="710" spans="1:8" x14ac:dyDescent="0.25">
      <c r="A710" s="123"/>
      <c r="B710" s="82" t="s">
        <v>583</v>
      </c>
      <c r="C710" s="73">
        <f t="shared" ref="C710:H710" si="249">SUM(C701:C704)</f>
        <v>13.5</v>
      </c>
      <c r="D710" s="73">
        <f t="shared" si="249"/>
        <v>4.5</v>
      </c>
      <c r="E710" s="73">
        <f t="shared" si="249"/>
        <v>0</v>
      </c>
      <c r="F710" s="74">
        <f t="shared" si="249"/>
        <v>4.5</v>
      </c>
      <c r="G710" s="73">
        <f t="shared" si="249"/>
        <v>9</v>
      </c>
      <c r="H710" s="73">
        <f t="shared" si="249"/>
        <v>0</v>
      </c>
    </row>
    <row r="711" spans="1:8" x14ac:dyDescent="0.25">
      <c r="A711" s="123"/>
      <c r="B711" s="82" t="s">
        <v>179</v>
      </c>
      <c r="C711" s="73">
        <f t="shared" ref="C711:H711" si="250">SUM(C705:C706)</f>
        <v>9.75</v>
      </c>
      <c r="D711" s="73">
        <f t="shared" si="250"/>
        <v>1.25</v>
      </c>
      <c r="E711" s="73">
        <f t="shared" si="250"/>
        <v>0</v>
      </c>
      <c r="F711" s="74">
        <f t="shared" si="250"/>
        <v>1.25</v>
      </c>
      <c r="G711" s="73">
        <f t="shared" si="250"/>
        <v>8.5</v>
      </c>
      <c r="H711" s="73">
        <f t="shared" si="250"/>
        <v>0</v>
      </c>
    </row>
    <row r="712" spans="1:8" x14ac:dyDescent="0.25">
      <c r="A712" s="79" t="s">
        <v>587</v>
      </c>
      <c r="B712" s="60"/>
      <c r="C712" s="73"/>
      <c r="D712" s="73"/>
      <c r="E712" s="73"/>
      <c r="F712" s="74"/>
      <c r="G712" s="60"/>
      <c r="H712" s="61"/>
    </row>
    <row r="713" spans="1:8" x14ac:dyDescent="0.25">
      <c r="A713" s="257" t="s">
        <v>506</v>
      </c>
      <c r="B713" s="60"/>
      <c r="C713" s="73"/>
      <c r="D713" s="73"/>
      <c r="E713" s="73"/>
      <c r="F713" s="74"/>
      <c r="G713" s="60"/>
      <c r="H713" s="61"/>
    </row>
    <row r="714" spans="1:8" x14ac:dyDescent="0.25">
      <c r="A714" s="56">
        <v>1</v>
      </c>
      <c r="B714" s="76" t="s">
        <v>214</v>
      </c>
      <c r="C714" s="66">
        <f>1-0.25</f>
        <v>0.75</v>
      </c>
      <c r="D714" s="66">
        <f t="shared" ref="D714:D725" si="251">C714-G714-H714</f>
        <v>0.75</v>
      </c>
      <c r="E714" s="66">
        <f t="shared" ref="E714:E725" si="252">D714-F714</f>
        <v>0</v>
      </c>
      <c r="F714" s="67">
        <v>0.75</v>
      </c>
      <c r="G714" s="60">
        <f>0.25-0.25</f>
        <v>0</v>
      </c>
      <c r="H714" s="68"/>
    </row>
    <row r="715" spans="1:8" x14ac:dyDescent="0.25">
      <c r="A715" s="56">
        <v>2</v>
      </c>
      <c r="B715" s="76" t="s">
        <v>83</v>
      </c>
      <c r="C715" s="66">
        <v>1.5</v>
      </c>
      <c r="D715" s="66">
        <f t="shared" si="251"/>
        <v>1.25</v>
      </c>
      <c r="E715" s="66">
        <f t="shared" si="252"/>
        <v>0</v>
      </c>
      <c r="F715" s="67">
        <v>1.25</v>
      </c>
      <c r="G715" s="60">
        <v>0.25</v>
      </c>
      <c r="H715" s="68"/>
    </row>
    <row r="716" spans="1:8" x14ac:dyDescent="0.25">
      <c r="A716" s="56">
        <v>3</v>
      </c>
      <c r="B716" s="86" t="s">
        <v>66</v>
      </c>
      <c r="C716" s="66">
        <v>0.25</v>
      </c>
      <c r="D716" s="66">
        <f t="shared" si="251"/>
        <v>0</v>
      </c>
      <c r="E716" s="66">
        <f t="shared" si="252"/>
        <v>0</v>
      </c>
      <c r="F716" s="67"/>
      <c r="G716" s="60">
        <f>0.25</f>
        <v>0.25</v>
      </c>
      <c r="H716" s="68"/>
    </row>
    <row r="717" spans="1:8" x14ac:dyDescent="0.25">
      <c r="A717" s="56">
        <v>4</v>
      </c>
      <c r="B717" s="86" t="s">
        <v>145</v>
      </c>
      <c r="C717" s="66">
        <v>1</v>
      </c>
      <c r="D717" s="66">
        <f t="shared" si="251"/>
        <v>0.5</v>
      </c>
      <c r="E717" s="66">
        <f t="shared" si="252"/>
        <v>0</v>
      </c>
      <c r="F717" s="67">
        <v>0.5</v>
      </c>
      <c r="G717" s="102">
        <v>0.5</v>
      </c>
      <c r="H717" s="68"/>
    </row>
    <row r="718" spans="1:8" x14ac:dyDescent="0.25">
      <c r="A718" s="56">
        <v>5</v>
      </c>
      <c r="B718" s="86" t="s">
        <v>182</v>
      </c>
      <c r="C718" s="66">
        <v>0.5</v>
      </c>
      <c r="D718" s="66">
        <f t="shared" si="251"/>
        <v>0</v>
      </c>
      <c r="E718" s="66">
        <f t="shared" si="252"/>
        <v>0</v>
      </c>
      <c r="F718" s="67"/>
      <c r="G718" s="60">
        <v>0.5</v>
      </c>
      <c r="H718" s="68"/>
    </row>
    <row r="719" spans="1:8" x14ac:dyDescent="0.25">
      <c r="A719" s="56">
        <v>6</v>
      </c>
      <c r="B719" s="76" t="s">
        <v>53</v>
      </c>
      <c r="C719" s="66">
        <v>1</v>
      </c>
      <c r="D719" s="66">
        <f t="shared" si="251"/>
        <v>0.75</v>
      </c>
      <c r="E719" s="66">
        <f t="shared" si="252"/>
        <v>0</v>
      </c>
      <c r="F719" s="67">
        <v>0.75</v>
      </c>
      <c r="G719" s="60">
        <v>0.25</v>
      </c>
      <c r="H719" s="68"/>
    </row>
    <row r="720" spans="1:8" x14ac:dyDescent="0.25">
      <c r="A720" s="56">
        <v>7</v>
      </c>
      <c r="B720" s="76" t="s">
        <v>210</v>
      </c>
      <c r="C720" s="66">
        <v>5</v>
      </c>
      <c r="D720" s="66">
        <f t="shared" si="251"/>
        <v>3.75</v>
      </c>
      <c r="E720" s="66">
        <f t="shared" si="252"/>
        <v>0</v>
      </c>
      <c r="F720" s="67">
        <f>0.75+0.75+0.75+0.75+0.75</f>
        <v>3.75</v>
      </c>
      <c r="G720" s="102">
        <f>1+0.75-0.5</f>
        <v>1.25</v>
      </c>
      <c r="H720" s="68"/>
    </row>
    <row r="721" spans="1:8" x14ac:dyDescent="0.25">
      <c r="A721" s="56">
        <v>8</v>
      </c>
      <c r="B721" s="76" t="s">
        <v>94</v>
      </c>
      <c r="C721" s="66">
        <v>0.5</v>
      </c>
      <c r="D721" s="66">
        <f t="shared" si="251"/>
        <v>0.5</v>
      </c>
      <c r="E721" s="66">
        <f t="shared" si="252"/>
        <v>0</v>
      </c>
      <c r="F721" s="67">
        <v>0.5</v>
      </c>
      <c r="G721" s="60"/>
      <c r="H721" s="68"/>
    </row>
    <row r="722" spans="1:8" x14ac:dyDescent="0.25">
      <c r="A722" s="56">
        <v>9</v>
      </c>
      <c r="B722" s="76" t="s">
        <v>213</v>
      </c>
      <c r="C722" s="66">
        <v>0.5</v>
      </c>
      <c r="D722" s="66">
        <f t="shared" si="251"/>
        <v>0.5</v>
      </c>
      <c r="E722" s="66">
        <f t="shared" si="252"/>
        <v>0</v>
      </c>
      <c r="F722" s="67">
        <v>0.5</v>
      </c>
      <c r="G722" s="60"/>
      <c r="H722" s="68"/>
    </row>
    <row r="723" spans="1:8" ht="26.25" x14ac:dyDescent="0.25">
      <c r="A723" s="56">
        <v>10</v>
      </c>
      <c r="B723" s="88" t="s">
        <v>215</v>
      </c>
      <c r="C723" s="66">
        <v>1</v>
      </c>
      <c r="D723" s="66">
        <f t="shared" si="251"/>
        <v>0.75</v>
      </c>
      <c r="E723" s="66">
        <f t="shared" si="252"/>
        <v>0</v>
      </c>
      <c r="F723" s="67">
        <v>0.75</v>
      </c>
      <c r="G723" s="60">
        <v>0.25</v>
      </c>
      <c r="H723" s="68"/>
    </row>
    <row r="724" spans="1:8" x14ac:dyDescent="0.25">
      <c r="A724" s="56">
        <v>11</v>
      </c>
      <c r="B724" s="76" t="s">
        <v>44</v>
      </c>
      <c r="C724" s="66">
        <v>1</v>
      </c>
      <c r="D724" s="66">
        <f t="shared" si="251"/>
        <v>0.75</v>
      </c>
      <c r="E724" s="66">
        <f t="shared" si="252"/>
        <v>0</v>
      </c>
      <c r="F724" s="67">
        <v>0.75</v>
      </c>
      <c r="G724" s="60">
        <v>0.25</v>
      </c>
      <c r="H724" s="68"/>
    </row>
    <row r="725" spans="1:8" x14ac:dyDescent="0.25">
      <c r="A725" s="61">
        <v>12</v>
      </c>
      <c r="B725" s="76" t="s">
        <v>45</v>
      </c>
      <c r="C725" s="66">
        <v>6.25</v>
      </c>
      <c r="D725" s="66">
        <f t="shared" si="251"/>
        <v>5</v>
      </c>
      <c r="E725" s="66">
        <f t="shared" si="252"/>
        <v>0</v>
      </c>
      <c r="F725" s="67">
        <f>0.25+0.25+0.25+0.75+0.75+0.25+0.75+0.75+0.5+0.5</f>
        <v>5</v>
      </c>
      <c r="G725" s="102">
        <f>0.5+0.75</f>
        <v>1.25</v>
      </c>
      <c r="H725" s="68"/>
    </row>
    <row r="726" spans="1:8" x14ac:dyDescent="0.25">
      <c r="A726" s="123"/>
      <c r="B726" s="72" t="s">
        <v>57</v>
      </c>
      <c r="C726" s="73">
        <f t="shared" ref="C726:H726" si="253">SUM(C714:C725)</f>
        <v>19.25</v>
      </c>
      <c r="D726" s="73">
        <f t="shared" si="253"/>
        <v>14.5</v>
      </c>
      <c r="E726" s="73">
        <f t="shared" si="253"/>
        <v>0</v>
      </c>
      <c r="F726" s="74">
        <f t="shared" si="253"/>
        <v>14.5</v>
      </c>
      <c r="G726" s="73">
        <f t="shared" si="253"/>
        <v>4.75</v>
      </c>
      <c r="H726" s="73">
        <f t="shared" si="253"/>
        <v>0</v>
      </c>
    </row>
    <row r="727" spans="1:8" x14ac:dyDescent="0.25">
      <c r="A727" s="123"/>
      <c r="B727" s="72"/>
      <c r="C727" s="83">
        <f t="shared" ref="C727:H727" si="254">SUM(C728:C730)</f>
        <v>19.25</v>
      </c>
      <c r="D727" s="83">
        <f t="shared" si="254"/>
        <v>14.5</v>
      </c>
      <c r="E727" s="83">
        <f t="shared" si="254"/>
        <v>0</v>
      </c>
      <c r="F727" s="84">
        <f t="shared" si="254"/>
        <v>14.5</v>
      </c>
      <c r="G727" s="83">
        <f t="shared" si="254"/>
        <v>4.75</v>
      </c>
      <c r="H727" s="83">
        <f t="shared" si="254"/>
        <v>0</v>
      </c>
    </row>
    <row r="728" spans="1:8" x14ac:dyDescent="0.25">
      <c r="A728" s="123"/>
      <c r="B728" s="82" t="s">
        <v>211</v>
      </c>
      <c r="C728" s="73">
        <f t="shared" ref="C728:H728" si="255">SUM(C714:C718)</f>
        <v>4</v>
      </c>
      <c r="D728" s="73">
        <f t="shared" si="255"/>
        <v>2.5</v>
      </c>
      <c r="E728" s="73">
        <f t="shared" si="255"/>
        <v>0</v>
      </c>
      <c r="F728" s="74">
        <f t="shared" si="255"/>
        <v>2.5</v>
      </c>
      <c r="G728" s="73">
        <f t="shared" si="255"/>
        <v>1.5</v>
      </c>
      <c r="H728" s="73">
        <f t="shared" si="255"/>
        <v>0</v>
      </c>
    </row>
    <row r="729" spans="1:8" x14ac:dyDescent="0.25">
      <c r="A729" s="123"/>
      <c r="B729" s="82" t="s">
        <v>583</v>
      </c>
      <c r="C729" s="73">
        <f t="shared" ref="C729:H729" si="256">SUM(C719:C723)</f>
        <v>8</v>
      </c>
      <c r="D729" s="73">
        <f t="shared" si="256"/>
        <v>6.25</v>
      </c>
      <c r="E729" s="73">
        <f t="shared" si="256"/>
        <v>0</v>
      </c>
      <c r="F729" s="74">
        <f t="shared" si="256"/>
        <v>6.25</v>
      </c>
      <c r="G729" s="73">
        <f t="shared" si="256"/>
        <v>1.75</v>
      </c>
      <c r="H729" s="73">
        <f t="shared" si="256"/>
        <v>0</v>
      </c>
    </row>
    <row r="730" spans="1:8" x14ac:dyDescent="0.25">
      <c r="A730" s="123"/>
      <c r="B730" s="82" t="s">
        <v>179</v>
      </c>
      <c r="C730" s="73">
        <f t="shared" ref="C730:H730" si="257">SUM(C724:C725)</f>
        <v>7.25</v>
      </c>
      <c r="D730" s="73">
        <f t="shared" si="257"/>
        <v>5.75</v>
      </c>
      <c r="E730" s="73">
        <f t="shared" si="257"/>
        <v>0</v>
      </c>
      <c r="F730" s="74">
        <f t="shared" si="257"/>
        <v>5.75</v>
      </c>
      <c r="G730" s="73">
        <f t="shared" si="257"/>
        <v>1.5</v>
      </c>
      <c r="H730" s="73">
        <f t="shared" si="257"/>
        <v>0</v>
      </c>
    </row>
    <row r="731" spans="1:8" x14ac:dyDescent="0.25">
      <c r="A731" s="61"/>
      <c r="B731" s="33" t="s">
        <v>588</v>
      </c>
      <c r="C731" s="58"/>
      <c r="D731" s="58"/>
      <c r="E731" s="58"/>
      <c r="F731" s="59"/>
      <c r="G731" s="60"/>
      <c r="H731" s="61"/>
    </row>
    <row r="732" spans="1:8" x14ac:dyDescent="0.25">
      <c r="A732" s="672" t="s">
        <v>589</v>
      </c>
      <c r="B732" s="672"/>
      <c r="C732" s="672"/>
      <c r="D732" s="255"/>
      <c r="E732" s="255"/>
      <c r="F732" s="256"/>
      <c r="G732" s="60"/>
      <c r="H732" s="61"/>
    </row>
    <row r="733" spans="1:8" x14ac:dyDescent="0.25">
      <c r="A733" s="61">
        <v>1</v>
      </c>
      <c r="B733" s="76" t="s">
        <v>216</v>
      </c>
      <c r="C733" s="68">
        <v>1</v>
      </c>
      <c r="D733" s="68">
        <f t="shared" ref="D733:D740" si="258">C733-G733-H733</f>
        <v>0.75</v>
      </c>
      <c r="E733" s="66">
        <f t="shared" ref="E733:E740" si="259">D733-F733</f>
        <v>0</v>
      </c>
      <c r="F733" s="71">
        <v>0.75</v>
      </c>
      <c r="G733" s="61">
        <v>0.25</v>
      </c>
      <c r="H733" s="68"/>
    </row>
    <row r="734" spans="1:8" x14ac:dyDescent="0.25">
      <c r="A734" s="61">
        <v>2</v>
      </c>
      <c r="B734" s="76" t="s">
        <v>68</v>
      </c>
      <c r="C734" s="68">
        <f>2+0.5</f>
        <v>2.5</v>
      </c>
      <c r="D734" s="68">
        <f t="shared" si="258"/>
        <v>0.75</v>
      </c>
      <c r="E734" s="66">
        <f t="shared" si="259"/>
        <v>0</v>
      </c>
      <c r="F734" s="71">
        <v>0.75</v>
      </c>
      <c r="G734" s="61">
        <f>1.5+0.25</f>
        <v>1.75</v>
      </c>
      <c r="H734" s="68"/>
    </row>
    <row r="735" spans="1:8" x14ac:dyDescent="0.25">
      <c r="A735" s="61">
        <v>3</v>
      </c>
      <c r="B735" s="76" t="s">
        <v>53</v>
      </c>
      <c r="C735" s="68">
        <v>1</v>
      </c>
      <c r="D735" s="68">
        <f t="shared" si="258"/>
        <v>0.75</v>
      </c>
      <c r="E735" s="66">
        <f t="shared" si="259"/>
        <v>0</v>
      </c>
      <c r="F735" s="71">
        <v>0.75</v>
      </c>
      <c r="G735" s="61">
        <v>0.25</v>
      </c>
      <c r="H735" s="68"/>
    </row>
    <row r="736" spans="1:8" x14ac:dyDescent="0.25">
      <c r="A736" s="61">
        <v>4</v>
      </c>
      <c r="B736" s="76" t="s">
        <v>210</v>
      </c>
      <c r="C736" s="68">
        <v>8</v>
      </c>
      <c r="D736" s="68">
        <f t="shared" si="258"/>
        <v>4</v>
      </c>
      <c r="E736" s="66">
        <f t="shared" si="259"/>
        <v>0</v>
      </c>
      <c r="F736" s="71">
        <f>0.75+0.75+0.75+0.25+0.75+0.75</f>
        <v>4</v>
      </c>
      <c r="G736" s="68">
        <f>3+1</f>
        <v>4</v>
      </c>
      <c r="H736" s="68"/>
    </row>
    <row r="737" spans="1:8" x14ac:dyDescent="0.25">
      <c r="A737" s="61">
        <v>5</v>
      </c>
      <c r="B737" s="76" t="s">
        <v>94</v>
      </c>
      <c r="C737" s="68">
        <v>1</v>
      </c>
      <c r="D737" s="68">
        <f t="shared" si="258"/>
        <v>0.75</v>
      </c>
      <c r="E737" s="66">
        <f t="shared" si="259"/>
        <v>0</v>
      </c>
      <c r="F737" s="71">
        <v>0.75</v>
      </c>
      <c r="G737" s="68">
        <v>0.25</v>
      </c>
      <c r="H737" s="68"/>
    </row>
    <row r="738" spans="1:8" x14ac:dyDescent="0.25">
      <c r="A738" s="61">
        <v>6</v>
      </c>
      <c r="B738" s="76" t="s">
        <v>213</v>
      </c>
      <c r="C738" s="68">
        <v>1</v>
      </c>
      <c r="D738" s="68">
        <f t="shared" si="258"/>
        <v>0.75</v>
      </c>
      <c r="E738" s="66">
        <f t="shared" si="259"/>
        <v>0</v>
      </c>
      <c r="F738" s="71">
        <v>0.75</v>
      </c>
      <c r="G738" s="68">
        <v>0.25</v>
      </c>
      <c r="H738" s="68"/>
    </row>
    <row r="739" spans="1:8" x14ac:dyDescent="0.25">
      <c r="A739" s="61">
        <v>7</v>
      </c>
      <c r="B739" s="76" t="s">
        <v>44</v>
      </c>
      <c r="C739" s="68">
        <v>1</v>
      </c>
      <c r="D739" s="68">
        <f t="shared" si="258"/>
        <v>0</v>
      </c>
      <c r="E739" s="66">
        <f t="shared" si="259"/>
        <v>0</v>
      </c>
      <c r="F739" s="71"/>
      <c r="G739" s="68">
        <v>1</v>
      </c>
      <c r="H739" s="68"/>
    </row>
    <row r="740" spans="1:8" x14ac:dyDescent="0.25">
      <c r="A740" s="61">
        <v>8</v>
      </c>
      <c r="B740" s="76" t="s">
        <v>45</v>
      </c>
      <c r="C740" s="68">
        <v>7.25</v>
      </c>
      <c r="D740" s="68">
        <f t="shared" si="258"/>
        <v>2.75</v>
      </c>
      <c r="E740" s="66">
        <f t="shared" si="259"/>
        <v>0</v>
      </c>
      <c r="F740" s="71">
        <f>0.75+0.5+0.75+0.25+0.5</f>
        <v>2.75</v>
      </c>
      <c r="G740" s="68">
        <f>3.75+0.25+0.5</f>
        <v>4.5</v>
      </c>
      <c r="H740" s="68"/>
    </row>
    <row r="741" spans="1:8" x14ac:dyDescent="0.25">
      <c r="A741" s="61"/>
      <c r="B741" s="72" t="s">
        <v>57</v>
      </c>
      <c r="C741" s="73">
        <f t="shared" ref="C741:H741" si="260">SUM(C733:C740)</f>
        <v>22.75</v>
      </c>
      <c r="D741" s="73">
        <f t="shared" si="260"/>
        <v>10.5</v>
      </c>
      <c r="E741" s="73">
        <f t="shared" si="260"/>
        <v>0</v>
      </c>
      <c r="F741" s="74">
        <f t="shared" si="260"/>
        <v>10.5</v>
      </c>
      <c r="G741" s="73">
        <f t="shared" si="260"/>
        <v>12.25</v>
      </c>
      <c r="H741" s="73">
        <f t="shared" si="260"/>
        <v>0</v>
      </c>
    </row>
    <row r="742" spans="1:8" x14ac:dyDescent="0.25">
      <c r="A742" s="61"/>
      <c r="B742" s="72"/>
      <c r="C742" s="83">
        <f t="shared" ref="C742:H742" si="261">SUM(C743:C745)</f>
        <v>22.75</v>
      </c>
      <c r="D742" s="83">
        <f t="shared" si="261"/>
        <v>10.5</v>
      </c>
      <c r="E742" s="83">
        <f t="shared" si="261"/>
        <v>0</v>
      </c>
      <c r="F742" s="84">
        <f t="shared" si="261"/>
        <v>10.5</v>
      </c>
      <c r="G742" s="83">
        <f t="shared" si="261"/>
        <v>12.25</v>
      </c>
      <c r="H742" s="83">
        <f t="shared" si="261"/>
        <v>0</v>
      </c>
    </row>
    <row r="743" spans="1:8" x14ac:dyDescent="0.25">
      <c r="A743" s="61"/>
      <c r="B743" s="82" t="s">
        <v>211</v>
      </c>
      <c r="C743" s="73">
        <f t="shared" ref="C743:H743" si="262">SUM(C733:C734)</f>
        <v>3.5</v>
      </c>
      <c r="D743" s="73">
        <f t="shared" si="262"/>
        <v>1.5</v>
      </c>
      <c r="E743" s="73">
        <f t="shared" si="262"/>
        <v>0</v>
      </c>
      <c r="F743" s="74">
        <f t="shared" si="262"/>
        <v>1.5</v>
      </c>
      <c r="G743" s="73">
        <f t="shared" si="262"/>
        <v>2</v>
      </c>
      <c r="H743" s="73">
        <f t="shared" si="262"/>
        <v>0</v>
      </c>
    </row>
    <row r="744" spans="1:8" x14ac:dyDescent="0.25">
      <c r="A744" s="61"/>
      <c r="B744" s="82" t="s">
        <v>583</v>
      </c>
      <c r="C744" s="73">
        <f t="shared" ref="C744:H744" si="263">SUM(C735:C738)</f>
        <v>11</v>
      </c>
      <c r="D744" s="73">
        <f t="shared" si="263"/>
        <v>6.25</v>
      </c>
      <c r="E744" s="73">
        <f t="shared" si="263"/>
        <v>0</v>
      </c>
      <c r="F744" s="74">
        <f t="shared" si="263"/>
        <v>6.25</v>
      </c>
      <c r="G744" s="73">
        <f t="shared" si="263"/>
        <v>4.75</v>
      </c>
      <c r="H744" s="73">
        <f t="shared" si="263"/>
        <v>0</v>
      </c>
    </row>
    <row r="745" spans="1:8" x14ac:dyDescent="0.25">
      <c r="A745" s="61"/>
      <c r="B745" s="82" t="s">
        <v>179</v>
      </c>
      <c r="C745" s="73">
        <f t="shared" ref="C745:H745" si="264">SUM(C739:C740)</f>
        <v>8.25</v>
      </c>
      <c r="D745" s="73">
        <f t="shared" si="264"/>
        <v>2.75</v>
      </c>
      <c r="E745" s="73">
        <f t="shared" si="264"/>
        <v>0</v>
      </c>
      <c r="F745" s="74">
        <f t="shared" si="264"/>
        <v>2.75</v>
      </c>
      <c r="G745" s="73">
        <f t="shared" si="264"/>
        <v>5.5</v>
      </c>
      <c r="H745" s="73">
        <f t="shared" si="264"/>
        <v>0</v>
      </c>
    </row>
    <row r="746" spans="1:8" x14ac:dyDescent="0.25">
      <c r="A746" s="61"/>
      <c r="B746" s="82"/>
      <c r="C746" s="73"/>
      <c r="D746" s="73"/>
      <c r="E746" s="73"/>
      <c r="F746" s="74"/>
      <c r="G746" s="60"/>
      <c r="H746" s="61"/>
    </row>
    <row r="747" spans="1:8" x14ac:dyDescent="0.25">
      <c r="A747" s="61"/>
      <c r="B747" s="33" t="s">
        <v>590</v>
      </c>
      <c r="C747" s="68"/>
      <c r="D747" s="68"/>
      <c r="E747" s="68"/>
      <c r="F747" s="71"/>
      <c r="G747" s="60"/>
      <c r="H747" s="61"/>
    </row>
    <row r="748" spans="1:8" x14ac:dyDescent="0.25">
      <c r="A748" s="61"/>
      <c r="B748" s="257" t="s">
        <v>591</v>
      </c>
      <c r="C748" s="260"/>
      <c r="D748" s="260"/>
      <c r="E748" s="260"/>
      <c r="F748" s="261"/>
      <c r="G748" s="60"/>
      <c r="H748" s="61"/>
    </row>
    <row r="749" spans="1:8" x14ac:dyDescent="0.25">
      <c r="A749" s="61">
        <v>1</v>
      </c>
      <c r="B749" s="76" t="s">
        <v>216</v>
      </c>
      <c r="C749" s="68">
        <v>1</v>
      </c>
      <c r="D749" s="68">
        <f t="shared" ref="D749:D755" si="265">C749-G749-H749</f>
        <v>0.75</v>
      </c>
      <c r="E749" s="66">
        <f t="shared" ref="E749:E758" si="266">D749-F749</f>
        <v>0</v>
      </c>
      <c r="F749" s="71">
        <v>0.75</v>
      </c>
      <c r="G749" s="61">
        <v>0.25</v>
      </c>
      <c r="H749" s="68"/>
    </row>
    <row r="750" spans="1:8" x14ac:dyDescent="0.25">
      <c r="A750" s="61">
        <v>2</v>
      </c>
      <c r="B750" s="76" t="s">
        <v>68</v>
      </c>
      <c r="C750" s="68">
        <f>1+1</f>
        <v>2</v>
      </c>
      <c r="D750" s="68">
        <f t="shared" si="265"/>
        <v>0</v>
      </c>
      <c r="E750" s="66">
        <f t="shared" si="266"/>
        <v>0</v>
      </c>
      <c r="F750" s="71"/>
      <c r="G750" s="68">
        <f>1+0.25</f>
        <v>1.25</v>
      </c>
      <c r="H750" s="68">
        <v>0.75</v>
      </c>
    </row>
    <row r="751" spans="1:8" x14ac:dyDescent="0.25">
      <c r="A751" s="61">
        <v>3</v>
      </c>
      <c r="B751" s="76" t="s">
        <v>66</v>
      </c>
      <c r="C751" s="68">
        <v>0.5</v>
      </c>
      <c r="D751" s="68">
        <f t="shared" si="265"/>
        <v>0.25</v>
      </c>
      <c r="E751" s="66">
        <f t="shared" si="266"/>
        <v>0</v>
      </c>
      <c r="F751" s="71">
        <v>0.25</v>
      </c>
      <c r="G751" s="61">
        <v>0.25</v>
      </c>
      <c r="H751" s="68"/>
    </row>
    <row r="752" spans="1:8" x14ac:dyDescent="0.25">
      <c r="A752" s="61">
        <v>4</v>
      </c>
      <c r="B752" s="76" t="s">
        <v>53</v>
      </c>
      <c r="C752" s="68">
        <v>1</v>
      </c>
      <c r="D752" s="68">
        <f t="shared" si="265"/>
        <v>0.75</v>
      </c>
      <c r="E752" s="66">
        <f t="shared" si="266"/>
        <v>0</v>
      </c>
      <c r="F752" s="71">
        <v>0.75</v>
      </c>
      <c r="G752" s="61">
        <v>0.25</v>
      </c>
      <c r="H752" s="68"/>
    </row>
    <row r="753" spans="1:8" x14ac:dyDescent="0.25">
      <c r="A753" s="61">
        <v>5</v>
      </c>
      <c r="B753" s="76" t="s">
        <v>210</v>
      </c>
      <c r="C753" s="68">
        <v>8</v>
      </c>
      <c r="D753" s="68">
        <f t="shared" si="265"/>
        <v>2.75</v>
      </c>
      <c r="E753" s="66">
        <f t="shared" si="266"/>
        <v>0</v>
      </c>
      <c r="F753" s="71">
        <f>0.5+0.75+0.75+0.75</f>
        <v>2.75</v>
      </c>
      <c r="G753" s="61">
        <f>4.75+0.5</f>
        <v>5.25</v>
      </c>
      <c r="H753" s="68"/>
    </row>
    <row r="754" spans="1:8" x14ac:dyDescent="0.25">
      <c r="A754" s="61">
        <v>6</v>
      </c>
      <c r="B754" s="76" t="s">
        <v>94</v>
      </c>
      <c r="C754" s="68">
        <v>1</v>
      </c>
      <c r="D754" s="68">
        <f t="shared" si="265"/>
        <v>0.75</v>
      </c>
      <c r="E754" s="66">
        <f t="shared" si="266"/>
        <v>0</v>
      </c>
      <c r="F754" s="71">
        <v>0.75</v>
      </c>
      <c r="G754" s="61">
        <v>0.25</v>
      </c>
      <c r="H754" s="68"/>
    </row>
    <row r="755" spans="1:8" x14ac:dyDescent="0.25">
      <c r="A755" s="61">
        <v>7</v>
      </c>
      <c r="B755" s="76" t="s">
        <v>213</v>
      </c>
      <c r="C755" s="68">
        <v>1</v>
      </c>
      <c r="D755" s="68">
        <f t="shared" si="265"/>
        <v>0</v>
      </c>
      <c r="E755" s="66">
        <f t="shared" si="266"/>
        <v>0</v>
      </c>
      <c r="F755" s="71"/>
      <c r="G755" s="68">
        <v>1</v>
      </c>
      <c r="H755" s="68"/>
    </row>
    <row r="756" spans="1:8" x14ac:dyDescent="0.25">
      <c r="A756" s="61">
        <v>8</v>
      </c>
      <c r="B756" s="76" t="s">
        <v>64</v>
      </c>
      <c r="C756" s="68">
        <v>1</v>
      </c>
      <c r="D756" s="68"/>
      <c r="E756" s="66">
        <f t="shared" si="266"/>
        <v>0</v>
      </c>
      <c r="F756" s="71"/>
      <c r="G756" s="68"/>
      <c r="H756" s="68">
        <v>1</v>
      </c>
    </row>
    <row r="757" spans="1:8" x14ac:dyDescent="0.25">
      <c r="A757" s="61">
        <v>9</v>
      </c>
      <c r="B757" s="76" t="s">
        <v>44</v>
      </c>
      <c r="C757" s="68">
        <v>1</v>
      </c>
      <c r="D757" s="68">
        <f>C757-G757-H757</f>
        <v>1</v>
      </c>
      <c r="E757" s="66">
        <f t="shared" si="266"/>
        <v>0</v>
      </c>
      <c r="F757" s="71">
        <v>1</v>
      </c>
      <c r="G757" s="68"/>
      <c r="H757" s="68"/>
    </row>
    <row r="758" spans="1:8" x14ac:dyDescent="0.25">
      <c r="A758" s="61">
        <v>10</v>
      </c>
      <c r="B758" s="76" t="s">
        <v>45</v>
      </c>
      <c r="C758" s="68">
        <v>7.25</v>
      </c>
      <c r="D758" s="68">
        <f>C758-G758-H758</f>
        <v>3.25</v>
      </c>
      <c r="E758" s="66">
        <f t="shared" si="266"/>
        <v>0</v>
      </c>
      <c r="F758" s="71">
        <f>0.75+1+0.25+0.25+1</f>
        <v>3.25</v>
      </c>
      <c r="G758" s="68">
        <f>4+0.25-0.25</f>
        <v>4</v>
      </c>
      <c r="H758" s="68"/>
    </row>
    <row r="759" spans="1:8" x14ac:dyDescent="0.25">
      <c r="A759" s="61"/>
      <c r="B759" s="72" t="s">
        <v>57</v>
      </c>
      <c r="C759" s="73">
        <f t="shared" ref="C759:H759" si="267">SUM(C749:C758)</f>
        <v>23.75</v>
      </c>
      <c r="D759" s="73">
        <f t="shared" si="267"/>
        <v>9.5</v>
      </c>
      <c r="E759" s="73">
        <f t="shared" si="267"/>
        <v>0</v>
      </c>
      <c r="F759" s="74">
        <f t="shared" si="267"/>
        <v>9.5</v>
      </c>
      <c r="G759" s="73">
        <f t="shared" si="267"/>
        <v>12.5</v>
      </c>
      <c r="H759" s="73">
        <f t="shared" si="267"/>
        <v>1.75</v>
      </c>
    </row>
    <row r="760" spans="1:8" ht="25.9" customHeight="1" x14ac:dyDescent="0.25">
      <c r="A760" s="673" t="s">
        <v>217</v>
      </c>
      <c r="B760" s="673"/>
      <c r="C760" s="673"/>
      <c r="D760" s="262"/>
      <c r="E760" s="262"/>
      <c r="F760" s="263"/>
      <c r="G760" s="60"/>
      <c r="H760" s="61"/>
    </row>
    <row r="761" spans="1:8" x14ac:dyDescent="0.25">
      <c r="A761" s="61">
        <v>10</v>
      </c>
      <c r="B761" s="264" t="s">
        <v>68</v>
      </c>
      <c r="C761" s="66">
        <f>2-1-0.5+0.5-1</f>
        <v>0</v>
      </c>
      <c r="D761" s="66">
        <f>C761-G761-H761</f>
        <v>0</v>
      </c>
      <c r="E761" s="66">
        <f>D761-F761</f>
        <v>0</v>
      </c>
      <c r="F761" s="67"/>
      <c r="G761" s="61">
        <f>0.25-0.25</f>
        <v>0</v>
      </c>
      <c r="H761" s="68">
        <f>1-0.25-0.75</f>
        <v>0</v>
      </c>
    </row>
    <row r="762" spans="1:8" x14ac:dyDescent="0.25">
      <c r="A762" s="61">
        <v>11</v>
      </c>
      <c r="B762" s="264" t="s">
        <v>64</v>
      </c>
      <c r="C762" s="66">
        <f>1-1</f>
        <v>0</v>
      </c>
      <c r="D762" s="66">
        <f>C762-G762-H762</f>
        <v>0</v>
      </c>
      <c r="E762" s="66">
        <f>D762-F762</f>
        <v>0</v>
      </c>
      <c r="F762" s="67"/>
      <c r="G762" s="60"/>
      <c r="H762" s="68">
        <f>1-1</f>
        <v>0</v>
      </c>
    </row>
    <row r="763" spans="1:8" x14ac:dyDescent="0.25">
      <c r="A763" s="61"/>
      <c r="B763" s="106" t="s">
        <v>54</v>
      </c>
      <c r="C763" s="73">
        <f t="shared" ref="C763:H763" si="268">SUM(C761:C762)</f>
        <v>0</v>
      </c>
      <c r="D763" s="73">
        <f t="shared" si="268"/>
        <v>0</v>
      </c>
      <c r="E763" s="73">
        <f t="shared" si="268"/>
        <v>0</v>
      </c>
      <c r="F763" s="74">
        <f t="shared" si="268"/>
        <v>0</v>
      </c>
      <c r="G763" s="73">
        <f t="shared" si="268"/>
        <v>0</v>
      </c>
      <c r="H763" s="73">
        <f t="shared" si="268"/>
        <v>0</v>
      </c>
    </row>
    <row r="764" spans="1:8" x14ac:dyDescent="0.25">
      <c r="A764" s="61"/>
      <c r="B764" s="106" t="s">
        <v>218</v>
      </c>
      <c r="C764" s="73">
        <f t="shared" ref="C764:H764" si="269">C763+C759</f>
        <v>23.75</v>
      </c>
      <c r="D764" s="73">
        <f t="shared" si="269"/>
        <v>9.5</v>
      </c>
      <c r="E764" s="73">
        <f t="shared" si="269"/>
        <v>0</v>
      </c>
      <c r="F764" s="74">
        <f t="shared" si="269"/>
        <v>9.5</v>
      </c>
      <c r="G764" s="73">
        <f t="shared" si="269"/>
        <v>12.5</v>
      </c>
      <c r="H764" s="73">
        <f t="shared" si="269"/>
        <v>1.75</v>
      </c>
    </row>
    <row r="765" spans="1:8" x14ac:dyDescent="0.25">
      <c r="A765" s="61"/>
      <c r="B765" s="106"/>
      <c r="C765" s="258">
        <f t="shared" ref="C765:H765" si="270">SUM(C766:C768)</f>
        <v>23.75</v>
      </c>
      <c r="D765" s="258">
        <f t="shared" si="270"/>
        <v>9.5</v>
      </c>
      <c r="E765" s="258">
        <f t="shared" si="270"/>
        <v>0</v>
      </c>
      <c r="F765" s="259">
        <f t="shared" si="270"/>
        <v>9.5</v>
      </c>
      <c r="G765" s="258">
        <f t="shared" si="270"/>
        <v>12.5</v>
      </c>
      <c r="H765" s="258">
        <f t="shared" si="270"/>
        <v>1.75</v>
      </c>
    </row>
    <row r="766" spans="1:8" x14ac:dyDescent="0.25">
      <c r="A766" s="61"/>
      <c r="B766" s="82" t="s">
        <v>211</v>
      </c>
      <c r="C766" s="73">
        <f t="shared" ref="C766:H766" si="271">SUM(C749:C751)+C761</f>
        <v>3.5</v>
      </c>
      <c r="D766" s="73">
        <f t="shared" si="271"/>
        <v>1</v>
      </c>
      <c r="E766" s="73">
        <f t="shared" si="271"/>
        <v>0</v>
      </c>
      <c r="F766" s="74">
        <f t="shared" si="271"/>
        <v>1</v>
      </c>
      <c r="G766" s="73">
        <f t="shared" si="271"/>
        <v>1.75</v>
      </c>
      <c r="H766" s="73">
        <f t="shared" si="271"/>
        <v>0.75</v>
      </c>
    </row>
    <row r="767" spans="1:8" x14ac:dyDescent="0.25">
      <c r="A767" s="61"/>
      <c r="B767" s="82" t="s">
        <v>583</v>
      </c>
      <c r="C767" s="73">
        <f t="shared" ref="C767:H767" si="272">SUM(C752:C756)+C762</f>
        <v>12</v>
      </c>
      <c r="D767" s="73">
        <f t="shared" si="272"/>
        <v>4.25</v>
      </c>
      <c r="E767" s="73">
        <f t="shared" si="272"/>
        <v>0</v>
      </c>
      <c r="F767" s="74">
        <f t="shared" si="272"/>
        <v>4.25</v>
      </c>
      <c r="G767" s="73">
        <f t="shared" si="272"/>
        <v>6.75</v>
      </c>
      <c r="H767" s="73">
        <f t="shared" si="272"/>
        <v>1</v>
      </c>
    </row>
    <row r="768" spans="1:8" x14ac:dyDescent="0.25">
      <c r="A768" s="61"/>
      <c r="B768" s="82" t="s">
        <v>179</v>
      </c>
      <c r="C768" s="73">
        <f t="shared" ref="C768:H768" si="273">SUM(C757:C758)</f>
        <v>8.25</v>
      </c>
      <c r="D768" s="73">
        <f t="shared" si="273"/>
        <v>4.25</v>
      </c>
      <c r="E768" s="73">
        <f t="shared" si="273"/>
        <v>0</v>
      </c>
      <c r="F768" s="74">
        <f t="shared" si="273"/>
        <v>4.25</v>
      </c>
      <c r="G768" s="73">
        <f t="shared" si="273"/>
        <v>4</v>
      </c>
      <c r="H768" s="73">
        <f t="shared" si="273"/>
        <v>0</v>
      </c>
    </row>
    <row r="769" spans="1:8" x14ac:dyDescent="0.25">
      <c r="A769" s="61"/>
      <c r="B769" s="33" t="s">
        <v>507</v>
      </c>
      <c r="C769" s="68"/>
      <c r="D769" s="68"/>
      <c r="E769" s="68"/>
      <c r="F769" s="71"/>
      <c r="G769" s="60"/>
      <c r="H769" s="61"/>
    </row>
    <row r="770" spans="1:8" x14ac:dyDescent="0.25">
      <c r="A770" s="61"/>
      <c r="B770" s="257" t="s">
        <v>592</v>
      </c>
      <c r="C770" s="260"/>
      <c r="D770" s="260"/>
      <c r="E770" s="260"/>
      <c r="F770" s="261"/>
      <c r="G770" s="60"/>
      <c r="H770" s="61"/>
    </row>
    <row r="771" spans="1:8" x14ac:dyDescent="0.25">
      <c r="A771" s="61" t="s">
        <v>61</v>
      </c>
      <c r="B771" s="76" t="s">
        <v>219</v>
      </c>
      <c r="C771" s="68">
        <v>1</v>
      </c>
      <c r="D771" s="68">
        <f t="shared" ref="D771:D779" si="274">C771-G771-H771</f>
        <v>0.75</v>
      </c>
      <c r="E771" s="66">
        <f t="shared" ref="E771:E779" si="275">D771-F771</f>
        <v>0</v>
      </c>
      <c r="F771" s="71">
        <v>0.75</v>
      </c>
      <c r="G771" s="61">
        <v>0.25</v>
      </c>
      <c r="H771" s="68"/>
    </row>
    <row r="772" spans="1:8" x14ac:dyDescent="0.25">
      <c r="A772" s="61" t="s">
        <v>63</v>
      </c>
      <c r="B772" s="76" t="s">
        <v>220</v>
      </c>
      <c r="C772" s="68">
        <v>3</v>
      </c>
      <c r="D772" s="68">
        <f t="shared" si="274"/>
        <v>1</v>
      </c>
      <c r="E772" s="66">
        <f t="shared" si="275"/>
        <v>0</v>
      </c>
      <c r="F772" s="71">
        <v>1</v>
      </c>
      <c r="G772" s="61">
        <f>1+0.25</f>
        <v>1.25</v>
      </c>
      <c r="H772" s="68">
        <f>1-0.25</f>
        <v>0.75</v>
      </c>
    </row>
    <row r="773" spans="1:8" x14ac:dyDescent="0.25">
      <c r="A773" s="61" t="s">
        <v>163</v>
      </c>
      <c r="B773" s="76" t="s">
        <v>53</v>
      </c>
      <c r="C773" s="68">
        <v>1</v>
      </c>
      <c r="D773" s="68">
        <f t="shared" si="274"/>
        <v>1</v>
      </c>
      <c r="E773" s="66">
        <f t="shared" si="275"/>
        <v>0</v>
      </c>
      <c r="F773" s="71">
        <v>1</v>
      </c>
      <c r="G773" s="61"/>
      <c r="H773" s="68"/>
    </row>
    <row r="774" spans="1:8" x14ac:dyDescent="0.25">
      <c r="A774" s="61" t="s">
        <v>165</v>
      </c>
      <c r="B774" s="76" t="s">
        <v>210</v>
      </c>
      <c r="C774" s="68">
        <f>5.75+0.25+0.5</f>
        <v>6.5</v>
      </c>
      <c r="D774" s="68">
        <f t="shared" si="274"/>
        <v>2.75</v>
      </c>
      <c r="E774" s="66">
        <f t="shared" si="275"/>
        <v>0</v>
      </c>
      <c r="F774" s="71">
        <f>1+0.75+1</f>
        <v>2.75</v>
      </c>
      <c r="G774" s="68">
        <f>1.75+0.25+0.5+0.25+0.25</f>
        <v>3</v>
      </c>
      <c r="H774" s="68">
        <f>1-0.25</f>
        <v>0.75</v>
      </c>
    </row>
    <row r="775" spans="1:8" x14ac:dyDescent="0.25">
      <c r="A775" s="61" t="s">
        <v>172</v>
      </c>
      <c r="B775" s="76" t="s">
        <v>213</v>
      </c>
      <c r="C775" s="68">
        <v>1</v>
      </c>
      <c r="D775" s="68">
        <f t="shared" si="274"/>
        <v>0.75</v>
      </c>
      <c r="E775" s="66">
        <f t="shared" si="275"/>
        <v>0</v>
      </c>
      <c r="F775" s="71">
        <v>0.75</v>
      </c>
      <c r="G775" s="68">
        <v>0.25</v>
      </c>
      <c r="H775" s="68"/>
    </row>
    <row r="776" spans="1:8" x14ac:dyDescent="0.25">
      <c r="A776" s="61" t="s">
        <v>221</v>
      </c>
      <c r="B776" s="76" t="s">
        <v>94</v>
      </c>
      <c r="C776" s="68">
        <v>1</v>
      </c>
      <c r="D776" s="68">
        <f t="shared" si="274"/>
        <v>0</v>
      </c>
      <c r="E776" s="66">
        <f t="shared" si="275"/>
        <v>0</v>
      </c>
      <c r="F776" s="71"/>
      <c r="G776" s="68">
        <v>1</v>
      </c>
      <c r="H776" s="68"/>
    </row>
    <row r="777" spans="1:8" x14ac:dyDescent="0.25">
      <c r="A777" s="61">
        <v>7</v>
      </c>
      <c r="B777" s="76" t="s">
        <v>96</v>
      </c>
      <c r="C777" s="68">
        <v>1</v>
      </c>
      <c r="D777" s="68">
        <f t="shared" si="274"/>
        <v>0.75</v>
      </c>
      <c r="E777" s="66">
        <f t="shared" si="275"/>
        <v>0</v>
      </c>
      <c r="F777" s="71">
        <v>0.75</v>
      </c>
      <c r="G777" s="61">
        <v>0.25</v>
      </c>
      <c r="H777" s="68"/>
    </row>
    <row r="778" spans="1:8" x14ac:dyDescent="0.25">
      <c r="A778" s="61">
        <v>8</v>
      </c>
      <c r="B778" s="76" t="s">
        <v>44</v>
      </c>
      <c r="C778" s="68">
        <v>1</v>
      </c>
      <c r="D778" s="68">
        <f t="shared" si="274"/>
        <v>0.75</v>
      </c>
      <c r="E778" s="66">
        <f t="shared" si="275"/>
        <v>0</v>
      </c>
      <c r="F778" s="71">
        <v>0.75</v>
      </c>
      <c r="G778" s="61">
        <v>0.25</v>
      </c>
      <c r="H778" s="68"/>
    </row>
    <row r="779" spans="1:8" x14ac:dyDescent="0.25">
      <c r="A779" s="61">
        <v>9</v>
      </c>
      <c r="B779" s="76" t="s">
        <v>45</v>
      </c>
      <c r="C779" s="68">
        <v>7.25</v>
      </c>
      <c r="D779" s="68">
        <f t="shared" si="274"/>
        <v>2.25</v>
      </c>
      <c r="E779" s="66">
        <f t="shared" si="275"/>
        <v>0</v>
      </c>
      <c r="F779" s="71">
        <f>0.75+0.75+0.75</f>
        <v>2.25</v>
      </c>
      <c r="G779" s="61">
        <f>3.25+0.5+0.25+0.25</f>
        <v>4.25</v>
      </c>
      <c r="H779" s="68">
        <f>1-0.25</f>
        <v>0.75</v>
      </c>
    </row>
    <row r="780" spans="1:8" x14ac:dyDescent="0.25">
      <c r="A780" s="61"/>
      <c r="B780" s="72" t="s">
        <v>57</v>
      </c>
      <c r="C780" s="73">
        <f t="shared" ref="C780:H780" si="276">SUM(C771:C779)</f>
        <v>22.75</v>
      </c>
      <c r="D780" s="73">
        <f t="shared" si="276"/>
        <v>10</v>
      </c>
      <c r="E780" s="73">
        <f t="shared" si="276"/>
        <v>0</v>
      </c>
      <c r="F780" s="74">
        <f t="shared" si="276"/>
        <v>10</v>
      </c>
      <c r="G780" s="73">
        <f t="shared" si="276"/>
        <v>10.5</v>
      </c>
      <c r="H780" s="73">
        <f t="shared" si="276"/>
        <v>2.25</v>
      </c>
    </row>
    <row r="781" spans="1:8" x14ac:dyDescent="0.25">
      <c r="A781" s="61"/>
      <c r="B781" s="72"/>
      <c r="C781" s="258">
        <f t="shared" ref="C781:H781" si="277">SUM(C782:C784)</f>
        <v>22.75</v>
      </c>
      <c r="D781" s="258">
        <f t="shared" si="277"/>
        <v>10</v>
      </c>
      <c r="E781" s="258">
        <f t="shared" si="277"/>
        <v>0</v>
      </c>
      <c r="F781" s="259">
        <f t="shared" si="277"/>
        <v>10</v>
      </c>
      <c r="G781" s="258">
        <f t="shared" si="277"/>
        <v>10.5</v>
      </c>
      <c r="H781" s="258">
        <f t="shared" si="277"/>
        <v>2.25</v>
      </c>
    </row>
    <row r="782" spans="1:8" x14ac:dyDescent="0.25">
      <c r="A782" s="123"/>
      <c r="B782" s="82" t="s">
        <v>211</v>
      </c>
      <c r="C782" s="73">
        <f t="shared" ref="C782:H782" si="278">SUM(C771:C772)</f>
        <v>4</v>
      </c>
      <c r="D782" s="73">
        <f t="shared" si="278"/>
        <v>1.75</v>
      </c>
      <c r="E782" s="73">
        <f t="shared" si="278"/>
        <v>0</v>
      </c>
      <c r="F782" s="74">
        <f t="shared" si="278"/>
        <v>1.75</v>
      </c>
      <c r="G782" s="73">
        <f t="shared" si="278"/>
        <v>1.5</v>
      </c>
      <c r="H782" s="73">
        <f t="shared" si="278"/>
        <v>0.75</v>
      </c>
    </row>
    <row r="783" spans="1:8" x14ac:dyDescent="0.25">
      <c r="A783" s="123"/>
      <c r="B783" s="82" t="s">
        <v>583</v>
      </c>
      <c r="C783" s="73">
        <f t="shared" ref="C783:H783" si="279">SUM(C773:C777)</f>
        <v>10.5</v>
      </c>
      <c r="D783" s="73">
        <f t="shared" si="279"/>
        <v>5.25</v>
      </c>
      <c r="E783" s="73">
        <f t="shared" si="279"/>
        <v>0</v>
      </c>
      <c r="F783" s="74">
        <f t="shared" si="279"/>
        <v>5.25</v>
      </c>
      <c r="G783" s="73">
        <f t="shared" si="279"/>
        <v>4.5</v>
      </c>
      <c r="H783" s="73">
        <f t="shared" si="279"/>
        <v>0.75</v>
      </c>
    </row>
    <row r="784" spans="1:8" x14ac:dyDescent="0.25">
      <c r="A784" s="123"/>
      <c r="B784" s="82" t="s">
        <v>593</v>
      </c>
      <c r="C784" s="73">
        <f t="shared" ref="C784:H784" si="280">SUM(C778:C779)</f>
        <v>8.25</v>
      </c>
      <c r="D784" s="73">
        <f t="shared" si="280"/>
        <v>3</v>
      </c>
      <c r="E784" s="73">
        <f t="shared" si="280"/>
        <v>0</v>
      </c>
      <c r="F784" s="74">
        <f t="shared" si="280"/>
        <v>3</v>
      </c>
      <c r="G784" s="73">
        <f t="shared" si="280"/>
        <v>4.5</v>
      </c>
      <c r="H784" s="73">
        <f t="shared" si="280"/>
        <v>0.75</v>
      </c>
    </row>
    <row r="785" spans="1:9" x14ac:dyDescent="0.25">
      <c r="A785" s="79" t="s">
        <v>594</v>
      </c>
      <c r="B785" s="60"/>
      <c r="C785" s="73"/>
      <c r="D785" s="73"/>
      <c r="E785" s="73"/>
      <c r="F785" s="74"/>
      <c r="G785" s="60"/>
      <c r="H785" s="61"/>
    </row>
    <row r="786" spans="1:9" ht="26.25" x14ac:dyDescent="0.25">
      <c r="A786" s="56">
        <v>1</v>
      </c>
      <c r="B786" s="88" t="s">
        <v>222</v>
      </c>
      <c r="C786" s="66">
        <f>0.5+0.5</f>
        <v>1</v>
      </c>
      <c r="D786" s="66">
        <f t="shared" ref="D786:D791" si="281">C786-G786-H786</f>
        <v>0</v>
      </c>
      <c r="E786" s="66">
        <f t="shared" ref="E786:E791" si="282">D786-F786</f>
        <v>0</v>
      </c>
      <c r="F786" s="67"/>
      <c r="G786" s="66">
        <f>0.5+0.5</f>
        <v>1</v>
      </c>
      <c r="H786" s="68"/>
      <c r="I786" s="3">
        <f t="shared" ref="I786:I797" si="283">SUM(D786:H786)</f>
        <v>1</v>
      </c>
    </row>
    <row r="787" spans="1:9" x14ac:dyDescent="0.25">
      <c r="A787" s="56">
        <v>2</v>
      </c>
      <c r="B787" s="76" t="s">
        <v>223</v>
      </c>
      <c r="C787" s="66">
        <f>1.5-0.5+1</f>
        <v>2</v>
      </c>
      <c r="D787" s="66">
        <f t="shared" si="281"/>
        <v>0</v>
      </c>
      <c r="E787" s="66">
        <f t="shared" si="282"/>
        <v>0</v>
      </c>
      <c r="F787" s="67"/>
      <c r="G787" s="66">
        <f>1.5-0.5+1</f>
        <v>2</v>
      </c>
      <c r="H787" s="68"/>
      <c r="I787" s="3">
        <f t="shared" si="283"/>
        <v>2</v>
      </c>
    </row>
    <row r="788" spans="1:9" x14ac:dyDescent="0.25">
      <c r="A788" s="56">
        <v>3</v>
      </c>
      <c r="B788" s="76" t="s">
        <v>53</v>
      </c>
      <c r="C788" s="66">
        <v>1</v>
      </c>
      <c r="D788" s="66">
        <f t="shared" si="281"/>
        <v>0</v>
      </c>
      <c r="E788" s="66">
        <f t="shared" si="282"/>
        <v>0</v>
      </c>
      <c r="F788" s="67"/>
      <c r="G788" s="66">
        <v>1</v>
      </c>
      <c r="H788" s="68"/>
      <c r="I788" s="3">
        <f t="shared" si="283"/>
        <v>1</v>
      </c>
    </row>
    <row r="789" spans="1:9" x14ac:dyDescent="0.25">
      <c r="A789" s="56">
        <v>4</v>
      </c>
      <c r="B789" s="88" t="s">
        <v>210</v>
      </c>
      <c r="C789" s="66">
        <f>2+0.5</f>
        <v>2.5</v>
      </c>
      <c r="D789" s="66">
        <f t="shared" si="281"/>
        <v>0</v>
      </c>
      <c r="E789" s="66">
        <f t="shared" si="282"/>
        <v>0</v>
      </c>
      <c r="F789" s="67"/>
      <c r="G789" s="66">
        <f>2+0.5</f>
        <v>2.5</v>
      </c>
      <c r="H789" s="68"/>
      <c r="I789" s="3">
        <f t="shared" si="283"/>
        <v>2.5</v>
      </c>
    </row>
    <row r="790" spans="1:9" x14ac:dyDescent="0.25">
      <c r="A790" s="56">
        <v>5</v>
      </c>
      <c r="B790" s="76" t="s">
        <v>44</v>
      </c>
      <c r="C790" s="66">
        <v>1</v>
      </c>
      <c r="D790" s="66">
        <f t="shared" si="281"/>
        <v>0</v>
      </c>
      <c r="E790" s="66">
        <f t="shared" si="282"/>
        <v>0</v>
      </c>
      <c r="F790" s="67"/>
      <c r="G790" s="66">
        <v>1</v>
      </c>
      <c r="H790" s="68"/>
      <c r="I790" s="3">
        <f t="shared" si="283"/>
        <v>1</v>
      </c>
    </row>
    <row r="791" spans="1:9" x14ac:dyDescent="0.25">
      <c r="A791" s="56">
        <v>6</v>
      </c>
      <c r="B791" s="201" t="s">
        <v>224</v>
      </c>
      <c r="C791" s="66">
        <f>1+1</f>
        <v>2</v>
      </c>
      <c r="D791" s="66">
        <f t="shared" si="281"/>
        <v>0</v>
      </c>
      <c r="E791" s="66">
        <f t="shared" si="282"/>
        <v>0</v>
      </c>
      <c r="F791" s="67"/>
      <c r="G791" s="66">
        <f>1+1</f>
        <v>2</v>
      </c>
      <c r="H791" s="68"/>
      <c r="I791" s="3">
        <f t="shared" si="283"/>
        <v>2</v>
      </c>
    </row>
    <row r="792" spans="1:9" x14ac:dyDescent="0.25">
      <c r="A792" s="123"/>
      <c r="B792" s="265" t="s">
        <v>225</v>
      </c>
      <c r="C792" s="73">
        <f t="shared" ref="C792:H792" si="284">SUM(C786:C791)</f>
        <v>9.5</v>
      </c>
      <c r="D792" s="73">
        <f t="shared" si="284"/>
        <v>0</v>
      </c>
      <c r="E792" s="73">
        <f t="shared" si="284"/>
        <v>0</v>
      </c>
      <c r="F792" s="74">
        <f t="shared" si="284"/>
        <v>0</v>
      </c>
      <c r="G792" s="73">
        <f t="shared" si="284"/>
        <v>9.5</v>
      </c>
      <c r="H792" s="73">
        <f t="shared" si="284"/>
        <v>0</v>
      </c>
      <c r="I792" s="3">
        <f t="shared" si="283"/>
        <v>9.5</v>
      </c>
    </row>
    <row r="793" spans="1:9" x14ac:dyDescent="0.25">
      <c r="A793" s="123"/>
      <c r="B793" s="266"/>
      <c r="C793" s="83">
        <f t="shared" ref="C793:H793" si="285">SUM(C794:C797)</f>
        <v>9.5</v>
      </c>
      <c r="D793" s="83">
        <f t="shared" si="285"/>
        <v>0</v>
      </c>
      <c r="E793" s="83">
        <f t="shared" si="285"/>
        <v>0</v>
      </c>
      <c r="F793" s="84">
        <f t="shared" si="285"/>
        <v>0</v>
      </c>
      <c r="G793" s="83">
        <f t="shared" si="285"/>
        <v>9.5</v>
      </c>
      <c r="H793" s="83">
        <f t="shared" si="285"/>
        <v>0</v>
      </c>
      <c r="I793" s="17">
        <f t="shared" si="283"/>
        <v>9.5</v>
      </c>
    </row>
    <row r="794" spans="1:9" x14ac:dyDescent="0.25">
      <c r="A794" s="123"/>
      <c r="B794" s="106" t="s">
        <v>226</v>
      </c>
      <c r="C794" s="73">
        <f t="shared" ref="C794:H794" si="286">SUM(C786:C787)</f>
        <v>3</v>
      </c>
      <c r="D794" s="73">
        <f t="shared" si="286"/>
        <v>0</v>
      </c>
      <c r="E794" s="73">
        <f t="shared" si="286"/>
        <v>0</v>
      </c>
      <c r="F794" s="74">
        <f t="shared" si="286"/>
        <v>0</v>
      </c>
      <c r="G794" s="73">
        <f t="shared" si="286"/>
        <v>3</v>
      </c>
      <c r="H794" s="73">
        <f t="shared" si="286"/>
        <v>0</v>
      </c>
      <c r="I794" s="3">
        <f t="shared" si="283"/>
        <v>3</v>
      </c>
    </row>
    <row r="795" spans="1:9" x14ac:dyDescent="0.25">
      <c r="A795" s="123"/>
      <c r="B795" s="82" t="s">
        <v>583</v>
      </c>
      <c r="C795" s="73">
        <f t="shared" ref="C795:H795" si="287">SUM(C788:C789)</f>
        <v>3.5</v>
      </c>
      <c r="D795" s="73">
        <f t="shared" si="287"/>
        <v>0</v>
      </c>
      <c r="E795" s="73">
        <f t="shared" si="287"/>
        <v>0</v>
      </c>
      <c r="F795" s="74">
        <f t="shared" si="287"/>
        <v>0</v>
      </c>
      <c r="G795" s="73">
        <f t="shared" si="287"/>
        <v>3.5</v>
      </c>
      <c r="H795" s="73">
        <f t="shared" si="287"/>
        <v>0</v>
      </c>
      <c r="I795" s="3">
        <f t="shared" si="283"/>
        <v>3.5</v>
      </c>
    </row>
    <row r="796" spans="1:9" x14ac:dyDescent="0.25">
      <c r="A796" s="123"/>
      <c r="B796" s="82" t="s">
        <v>179</v>
      </c>
      <c r="C796" s="73">
        <f t="shared" ref="C796:H797" si="288">SUM(C790)</f>
        <v>1</v>
      </c>
      <c r="D796" s="73">
        <f t="shared" si="288"/>
        <v>0</v>
      </c>
      <c r="E796" s="73">
        <f t="shared" si="288"/>
        <v>0</v>
      </c>
      <c r="F796" s="74">
        <f t="shared" si="288"/>
        <v>0</v>
      </c>
      <c r="G796" s="73">
        <f t="shared" si="288"/>
        <v>1</v>
      </c>
      <c r="H796" s="73">
        <f t="shared" si="288"/>
        <v>0</v>
      </c>
      <c r="I796" s="3">
        <f t="shared" si="283"/>
        <v>1</v>
      </c>
    </row>
    <row r="797" spans="1:9" x14ac:dyDescent="0.25">
      <c r="A797" s="123"/>
      <c r="B797" s="82" t="s">
        <v>30</v>
      </c>
      <c r="C797" s="73">
        <f t="shared" si="288"/>
        <v>2</v>
      </c>
      <c r="D797" s="73">
        <f t="shared" si="288"/>
        <v>0</v>
      </c>
      <c r="E797" s="73">
        <f t="shared" si="288"/>
        <v>0</v>
      </c>
      <c r="F797" s="74">
        <f t="shared" si="288"/>
        <v>0</v>
      </c>
      <c r="G797" s="73">
        <f t="shared" si="288"/>
        <v>2</v>
      </c>
      <c r="H797" s="73">
        <f t="shared" si="288"/>
        <v>0</v>
      </c>
      <c r="I797" s="3">
        <f t="shared" si="283"/>
        <v>2</v>
      </c>
    </row>
    <row r="798" spans="1:9" x14ac:dyDescent="0.25">
      <c r="A798" s="123"/>
      <c r="B798" s="82"/>
      <c r="C798" s="73"/>
      <c r="D798" s="73"/>
      <c r="E798" s="73"/>
      <c r="F798" s="74"/>
      <c r="G798" s="60"/>
      <c r="H798" s="61"/>
    </row>
    <row r="799" spans="1:9" x14ac:dyDescent="0.25">
      <c r="A799" s="123"/>
      <c r="B799" s="82"/>
      <c r="C799" s="73"/>
      <c r="D799" s="73"/>
      <c r="E799" s="73"/>
      <c r="F799" s="74"/>
      <c r="G799" s="60"/>
      <c r="H799" s="61"/>
    </row>
    <row r="800" spans="1:9" x14ac:dyDescent="0.25">
      <c r="A800" s="61"/>
      <c r="B800" s="33" t="s">
        <v>235</v>
      </c>
      <c r="C800" s="68"/>
      <c r="D800" s="68"/>
      <c r="E800" s="68"/>
      <c r="F800" s="71"/>
      <c r="G800" s="60"/>
      <c r="H800" s="61"/>
    </row>
    <row r="801" spans="1:8" ht="26.25" x14ac:dyDescent="0.25">
      <c r="A801" s="61">
        <v>1</v>
      </c>
      <c r="B801" s="88" t="s">
        <v>236</v>
      </c>
      <c r="C801" s="68">
        <v>1</v>
      </c>
      <c r="D801" s="68">
        <f t="shared" ref="D801:D806" si="289">C801-G801-H801</f>
        <v>0.75</v>
      </c>
      <c r="E801" s="66">
        <f t="shared" ref="E801:E806" si="290">D801-F801</f>
        <v>0</v>
      </c>
      <c r="F801" s="71">
        <v>0.75</v>
      </c>
      <c r="G801" s="60">
        <v>0.25</v>
      </c>
      <c r="H801" s="68"/>
    </row>
    <row r="802" spans="1:8" x14ac:dyDescent="0.25">
      <c r="A802" s="61">
        <v>2</v>
      </c>
      <c r="B802" s="76" t="s">
        <v>237</v>
      </c>
      <c r="C802" s="68">
        <v>3.75</v>
      </c>
      <c r="D802" s="68">
        <f t="shared" si="289"/>
        <v>2</v>
      </c>
      <c r="E802" s="66">
        <f t="shared" si="290"/>
        <v>0</v>
      </c>
      <c r="F802" s="71">
        <f>0.25+0.25+0.25+0.25+0.25+0.25+0.25+0.25</f>
        <v>2</v>
      </c>
      <c r="G802" s="60">
        <v>1.75</v>
      </c>
      <c r="H802" s="68"/>
    </row>
    <row r="803" spans="1:8" x14ac:dyDescent="0.25">
      <c r="A803" s="61">
        <v>3</v>
      </c>
      <c r="B803" s="76" t="s">
        <v>53</v>
      </c>
      <c r="C803" s="68">
        <v>1</v>
      </c>
      <c r="D803" s="68">
        <f t="shared" si="289"/>
        <v>0.75</v>
      </c>
      <c r="E803" s="66">
        <f t="shared" si="290"/>
        <v>0</v>
      </c>
      <c r="F803" s="71">
        <v>0.75</v>
      </c>
      <c r="G803" s="60">
        <v>0.25</v>
      </c>
      <c r="H803" s="68"/>
    </row>
    <row r="804" spans="1:8" x14ac:dyDescent="0.25">
      <c r="A804" s="61">
        <v>4</v>
      </c>
      <c r="B804" s="76" t="s">
        <v>238</v>
      </c>
      <c r="C804" s="68">
        <v>5.75</v>
      </c>
      <c r="D804" s="68">
        <f t="shared" si="289"/>
        <v>2.25</v>
      </c>
      <c r="E804" s="66">
        <f t="shared" si="290"/>
        <v>0</v>
      </c>
      <c r="F804" s="71">
        <f>0.75+0.75+0.75</f>
        <v>2.25</v>
      </c>
      <c r="G804" s="102">
        <f>1.75+0.5+0.25+0.25</f>
        <v>2.75</v>
      </c>
      <c r="H804" s="68">
        <f>1-0.25</f>
        <v>0.75</v>
      </c>
    </row>
    <row r="805" spans="1:8" x14ac:dyDescent="0.25">
      <c r="A805" s="61">
        <v>5</v>
      </c>
      <c r="B805" s="76" t="s">
        <v>44</v>
      </c>
      <c r="C805" s="68">
        <v>1</v>
      </c>
      <c r="D805" s="68">
        <f t="shared" si="289"/>
        <v>0.75</v>
      </c>
      <c r="E805" s="66">
        <f t="shared" si="290"/>
        <v>0</v>
      </c>
      <c r="F805" s="71">
        <v>0.75</v>
      </c>
      <c r="G805" s="60">
        <v>0.25</v>
      </c>
      <c r="H805" s="68"/>
    </row>
    <row r="806" spans="1:8" x14ac:dyDescent="0.25">
      <c r="A806" s="61">
        <v>6</v>
      </c>
      <c r="B806" s="76" t="s">
        <v>45</v>
      </c>
      <c r="C806" s="68">
        <v>0.5</v>
      </c>
      <c r="D806" s="68">
        <f t="shared" si="289"/>
        <v>0</v>
      </c>
      <c r="E806" s="66">
        <f t="shared" si="290"/>
        <v>0</v>
      </c>
      <c r="F806" s="71"/>
      <c r="G806" s="102">
        <v>0.5</v>
      </c>
      <c r="H806" s="68"/>
    </row>
    <row r="807" spans="1:8" x14ac:dyDescent="0.25">
      <c r="A807" s="61"/>
      <c r="B807" s="76" t="s">
        <v>54</v>
      </c>
      <c r="C807" s="73">
        <f t="shared" ref="C807:H807" si="291">SUM(C801:C806)</f>
        <v>13</v>
      </c>
      <c r="D807" s="73">
        <f t="shared" si="291"/>
        <v>6.5</v>
      </c>
      <c r="E807" s="73">
        <f t="shared" si="291"/>
        <v>0</v>
      </c>
      <c r="F807" s="74">
        <f t="shared" si="291"/>
        <v>6.5</v>
      </c>
      <c r="G807" s="73">
        <f t="shared" si="291"/>
        <v>5.75</v>
      </c>
      <c r="H807" s="73">
        <f t="shared" si="291"/>
        <v>0.75</v>
      </c>
    </row>
    <row r="808" spans="1:8" x14ac:dyDescent="0.25">
      <c r="A808" s="61"/>
      <c r="B808" s="76"/>
      <c r="C808" s="258">
        <f t="shared" ref="C808:H808" si="292">SUM(C809:C811)</f>
        <v>13</v>
      </c>
      <c r="D808" s="258">
        <f t="shared" si="292"/>
        <v>6.5</v>
      </c>
      <c r="E808" s="258">
        <f t="shared" si="292"/>
        <v>0</v>
      </c>
      <c r="F808" s="259">
        <f t="shared" si="292"/>
        <v>6.5</v>
      </c>
      <c r="G808" s="258">
        <f t="shared" si="292"/>
        <v>5.75</v>
      </c>
      <c r="H808" s="258">
        <f t="shared" si="292"/>
        <v>0.75</v>
      </c>
    </row>
    <row r="809" spans="1:8" x14ac:dyDescent="0.25">
      <c r="A809" s="61"/>
      <c r="B809" s="82" t="s">
        <v>211</v>
      </c>
      <c r="C809" s="73">
        <f t="shared" ref="C809:H809" si="293">C801+C802</f>
        <v>4.75</v>
      </c>
      <c r="D809" s="73">
        <f t="shared" si="293"/>
        <v>2.75</v>
      </c>
      <c r="E809" s="73">
        <f t="shared" si="293"/>
        <v>0</v>
      </c>
      <c r="F809" s="74">
        <f t="shared" si="293"/>
        <v>2.75</v>
      </c>
      <c r="G809" s="73">
        <f t="shared" si="293"/>
        <v>2</v>
      </c>
      <c r="H809" s="73">
        <f t="shared" si="293"/>
        <v>0</v>
      </c>
    </row>
    <row r="810" spans="1:8" x14ac:dyDescent="0.25">
      <c r="A810" s="61"/>
      <c r="B810" s="82" t="s">
        <v>583</v>
      </c>
      <c r="C810" s="73">
        <f t="shared" ref="C810:H810" si="294">SUM(C803:C804)</f>
        <v>6.75</v>
      </c>
      <c r="D810" s="73">
        <f t="shared" si="294"/>
        <v>3</v>
      </c>
      <c r="E810" s="73">
        <f t="shared" si="294"/>
        <v>0</v>
      </c>
      <c r="F810" s="74">
        <f t="shared" si="294"/>
        <v>3</v>
      </c>
      <c r="G810" s="73">
        <f t="shared" si="294"/>
        <v>3</v>
      </c>
      <c r="H810" s="73">
        <f t="shared" si="294"/>
        <v>0.75</v>
      </c>
    </row>
    <row r="811" spans="1:8" x14ac:dyDescent="0.25">
      <c r="A811" s="61"/>
      <c r="B811" s="82" t="s">
        <v>179</v>
      </c>
      <c r="C811" s="73">
        <f t="shared" ref="C811:H811" si="295">SUM(C805:C806)</f>
        <v>1.5</v>
      </c>
      <c r="D811" s="73">
        <f t="shared" si="295"/>
        <v>0.75</v>
      </c>
      <c r="E811" s="73">
        <f t="shared" si="295"/>
        <v>0</v>
      </c>
      <c r="F811" s="74">
        <f t="shared" si="295"/>
        <v>0.75</v>
      </c>
      <c r="G811" s="73">
        <f t="shared" si="295"/>
        <v>0.75</v>
      </c>
      <c r="H811" s="73">
        <f t="shared" si="295"/>
        <v>0</v>
      </c>
    </row>
    <row r="812" spans="1:8" x14ac:dyDescent="0.25">
      <c r="A812" s="61"/>
      <c r="B812" s="33" t="s">
        <v>239</v>
      </c>
      <c r="C812" s="68"/>
      <c r="D812" s="68"/>
      <c r="E812" s="68"/>
      <c r="F812" s="71"/>
      <c r="G812" s="60"/>
      <c r="H812" s="61"/>
    </row>
    <row r="813" spans="1:8" x14ac:dyDescent="0.25">
      <c r="A813" s="61">
        <v>1</v>
      </c>
      <c r="B813" s="76" t="s">
        <v>240</v>
      </c>
      <c r="C813" s="68">
        <v>1</v>
      </c>
      <c r="D813" s="68">
        <f>C813-G813-H813</f>
        <v>1</v>
      </c>
      <c r="E813" s="66">
        <f>D813-F813</f>
        <v>0</v>
      </c>
      <c r="F813" s="71">
        <v>1</v>
      </c>
      <c r="G813" s="60"/>
      <c r="H813" s="68"/>
    </row>
    <row r="814" spans="1:8" x14ac:dyDescent="0.25">
      <c r="A814" s="61">
        <v>2</v>
      </c>
      <c r="B814" s="76" t="s">
        <v>595</v>
      </c>
      <c r="C814" s="68">
        <v>15.75</v>
      </c>
      <c r="D814" s="68">
        <f>C814-G814-H814</f>
        <v>6.5</v>
      </c>
      <c r="E814" s="66">
        <f>D814-F814</f>
        <v>0</v>
      </c>
      <c r="F814" s="71">
        <f>0.25+0.25+0.25+0.25+0.75+0.25+1+1+0.5+0.75+1+0.25</f>
        <v>6.5</v>
      </c>
      <c r="G814" s="102">
        <f>5.75+0.5+0.75</f>
        <v>7</v>
      </c>
      <c r="H814" s="68">
        <f>3-0.75</f>
        <v>2.25</v>
      </c>
    </row>
    <row r="815" spans="1:8" x14ac:dyDescent="0.25">
      <c r="A815" s="61">
        <v>3</v>
      </c>
      <c r="B815" s="76" t="s">
        <v>44</v>
      </c>
      <c r="C815" s="68">
        <v>1</v>
      </c>
      <c r="D815" s="68">
        <f>C815-G815-H815</f>
        <v>0.75</v>
      </c>
      <c r="E815" s="66">
        <f>D815-F815</f>
        <v>0</v>
      </c>
      <c r="F815" s="71">
        <v>0.75</v>
      </c>
      <c r="G815" s="60">
        <v>0.25</v>
      </c>
      <c r="H815" s="68"/>
    </row>
    <row r="816" spans="1:8" x14ac:dyDescent="0.25">
      <c r="A816" s="56">
        <v>4</v>
      </c>
      <c r="B816" s="76" t="s">
        <v>45</v>
      </c>
      <c r="C816" s="68">
        <f>5.25+1+1+1</f>
        <v>8.25</v>
      </c>
      <c r="D816" s="68">
        <f>C816-G816-H816</f>
        <v>4.25</v>
      </c>
      <c r="E816" s="66">
        <f>D816-F816</f>
        <v>0</v>
      </c>
      <c r="F816" s="71">
        <f>1+0.5+0.25+0.5+1+0.25+0.75</f>
        <v>4.25</v>
      </c>
      <c r="G816" s="102">
        <f>1.75+0.5+0.5+0.25+0.25</f>
        <v>3.25</v>
      </c>
      <c r="H816" s="68">
        <f>1-0.25</f>
        <v>0.75</v>
      </c>
    </row>
    <row r="817" spans="1:8" x14ac:dyDescent="0.25">
      <c r="A817" s="61"/>
      <c r="B817" s="72" t="s">
        <v>596</v>
      </c>
      <c r="C817" s="73">
        <f t="shared" ref="C817:H817" si="296">SUM(C813:C816)</f>
        <v>26</v>
      </c>
      <c r="D817" s="73">
        <f t="shared" si="296"/>
        <v>12.5</v>
      </c>
      <c r="E817" s="73">
        <f t="shared" si="296"/>
        <v>0</v>
      </c>
      <c r="F817" s="74">
        <f t="shared" si="296"/>
        <v>12.5</v>
      </c>
      <c r="G817" s="73">
        <f t="shared" si="296"/>
        <v>10.5</v>
      </c>
      <c r="H817" s="73">
        <f t="shared" si="296"/>
        <v>3</v>
      </c>
    </row>
    <row r="818" spans="1:8" x14ac:dyDescent="0.25">
      <c r="A818" s="61"/>
      <c r="B818" s="72"/>
      <c r="C818" s="83">
        <f t="shared" ref="C818:H818" si="297">SUM(C819:C820)</f>
        <v>26</v>
      </c>
      <c r="D818" s="83">
        <f t="shared" si="297"/>
        <v>12.5</v>
      </c>
      <c r="E818" s="83">
        <f t="shared" si="297"/>
        <v>0</v>
      </c>
      <c r="F818" s="84">
        <f t="shared" si="297"/>
        <v>12.5</v>
      </c>
      <c r="G818" s="83">
        <f t="shared" si="297"/>
        <v>10.5</v>
      </c>
      <c r="H818" s="83">
        <f t="shared" si="297"/>
        <v>3</v>
      </c>
    </row>
    <row r="819" spans="1:8" x14ac:dyDescent="0.25">
      <c r="A819" s="61"/>
      <c r="B819" s="82" t="s">
        <v>583</v>
      </c>
      <c r="C819" s="73">
        <f t="shared" ref="C819:H819" si="298">SUM(C813:C814)</f>
        <v>16.75</v>
      </c>
      <c r="D819" s="73">
        <f t="shared" si="298"/>
        <v>7.5</v>
      </c>
      <c r="E819" s="73">
        <f t="shared" si="298"/>
        <v>0</v>
      </c>
      <c r="F819" s="74">
        <f t="shared" si="298"/>
        <v>7.5</v>
      </c>
      <c r="G819" s="73">
        <f t="shared" si="298"/>
        <v>7</v>
      </c>
      <c r="H819" s="73">
        <f t="shared" si="298"/>
        <v>2.25</v>
      </c>
    </row>
    <row r="820" spans="1:8" x14ac:dyDescent="0.25">
      <c r="A820" s="61"/>
      <c r="B820" s="82" t="s">
        <v>179</v>
      </c>
      <c r="C820" s="73">
        <f t="shared" ref="C820:H820" si="299">SUM(C815:C816)</f>
        <v>9.25</v>
      </c>
      <c r="D820" s="73">
        <f t="shared" si="299"/>
        <v>5</v>
      </c>
      <c r="E820" s="73">
        <f t="shared" si="299"/>
        <v>0</v>
      </c>
      <c r="F820" s="74">
        <f t="shared" si="299"/>
        <v>5</v>
      </c>
      <c r="G820" s="73">
        <f t="shared" si="299"/>
        <v>3.5</v>
      </c>
      <c r="H820" s="73">
        <f t="shared" si="299"/>
        <v>0.75</v>
      </c>
    </row>
    <row r="821" spans="1:8" x14ac:dyDescent="0.25">
      <c r="A821" s="61"/>
      <c r="B821" s="120" t="s">
        <v>241</v>
      </c>
      <c r="C821" s="217"/>
      <c r="D821" s="217"/>
      <c r="E821" s="217"/>
      <c r="F821" s="218"/>
      <c r="G821" s="60"/>
      <c r="H821" s="61"/>
    </row>
    <row r="822" spans="1:8" x14ac:dyDescent="0.25">
      <c r="A822" s="61">
        <v>1</v>
      </c>
      <c r="B822" s="86" t="s">
        <v>242</v>
      </c>
      <c r="C822" s="66">
        <v>1</v>
      </c>
      <c r="D822" s="66">
        <f t="shared" ref="D822:D827" si="300">C822-G822-H822</f>
        <v>1</v>
      </c>
      <c r="E822" s="66">
        <f t="shared" ref="E822:E827" si="301">D822-F822</f>
        <v>0</v>
      </c>
      <c r="F822" s="67">
        <v>1</v>
      </c>
      <c r="G822" s="60"/>
      <c r="H822" s="68"/>
    </row>
    <row r="823" spans="1:8" x14ac:dyDescent="0.25">
      <c r="A823" s="61">
        <v>2</v>
      </c>
      <c r="B823" s="86" t="s">
        <v>243</v>
      </c>
      <c r="C823" s="66">
        <f>6+1</f>
        <v>7</v>
      </c>
      <c r="D823" s="66">
        <f t="shared" si="300"/>
        <v>5.5</v>
      </c>
      <c r="E823" s="66">
        <f t="shared" si="301"/>
        <v>0</v>
      </c>
      <c r="F823" s="67">
        <f>0.5+0.5+0.5+0.5+1.5+1.25+0.75</f>
        <v>5.5</v>
      </c>
      <c r="G823" s="102">
        <f>1-1</f>
        <v>0</v>
      </c>
      <c r="H823" s="68">
        <v>1.5</v>
      </c>
    </row>
    <row r="824" spans="1:8" x14ac:dyDescent="0.25">
      <c r="A824" s="61">
        <v>3</v>
      </c>
      <c r="B824" s="86" t="s">
        <v>244</v>
      </c>
      <c r="C824" s="66">
        <f>7.5-0.5</f>
        <v>7</v>
      </c>
      <c r="D824" s="66">
        <f t="shared" si="300"/>
        <v>6</v>
      </c>
      <c r="E824" s="66">
        <f t="shared" si="301"/>
        <v>0</v>
      </c>
      <c r="F824" s="67">
        <f>1+0.5+1+1+0.75+0.5+1+0.25</f>
        <v>6</v>
      </c>
      <c r="G824" s="102">
        <f>2-2</f>
        <v>0</v>
      </c>
      <c r="H824" s="68">
        <v>1</v>
      </c>
    </row>
    <row r="825" spans="1:8" x14ac:dyDescent="0.25">
      <c r="A825" s="61">
        <v>4</v>
      </c>
      <c r="B825" s="86" t="s">
        <v>96</v>
      </c>
      <c r="C825" s="66">
        <v>2</v>
      </c>
      <c r="D825" s="66">
        <f t="shared" si="300"/>
        <v>2</v>
      </c>
      <c r="E825" s="66">
        <f t="shared" si="301"/>
        <v>2</v>
      </c>
      <c r="F825" s="67"/>
      <c r="G825" s="102">
        <f>1-1</f>
        <v>0</v>
      </c>
      <c r="H825" s="68"/>
    </row>
    <row r="826" spans="1:8" x14ac:dyDescent="0.25">
      <c r="A826" s="61">
        <v>5</v>
      </c>
      <c r="B826" s="86" t="s">
        <v>44</v>
      </c>
      <c r="C826" s="66">
        <v>1</v>
      </c>
      <c r="D826" s="66">
        <f t="shared" si="300"/>
        <v>1</v>
      </c>
      <c r="E826" s="66">
        <f t="shared" si="301"/>
        <v>1</v>
      </c>
      <c r="F826" s="67"/>
      <c r="G826" s="102"/>
      <c r="H826" s="68"/>
    </row>
    <row r="827" spans="1:8" x14ac:dyDescent="0.25">
      <c r="A827" s="61">
        <v>6</v>
      </c>
      <c r="B827" s="86" t="s">
        <v>45</v>
      </c>
      <c r="C827" s="66">
        <v>1.5</v>
      </c>
      <c r="D827" s="66">
        <f t="shared" si="300"/>
        <v>1.25</v>
      </c>
      <c r="E827" s="66">
        <f t="shared" si="301"/>
        <v>0</v>
      </c>
      <c r="F827" s="67">
        <f>1+0.25</f>
        <v>1.25</v>
      </c>
      <c r="G827" s="102">
        <f>1-1</f>
        <v>0</v>
      </c>
      <c r="H827" s="68">
        <v>0.25</v>
      </c>
    </row>
    <row r="828" spans="1:8" x14ac:dyDescent="0.25">
      <c r="A828" s="61"/>
      <c r="B828" s="267" t="s">
        <v>54</v>
      </c>
      <c r="C828" s="217">
        <f t="shared" ref="C828:H828" si="302">SUM(C822:C827)</f>
        <v>19.5</v>
      </c>
      <c r="D828" s="217">
        <f t="shared" si="302"/>
        <v>16.75</v>
      </c>
      <c r="E828" s="217">
        <f t="shared" si="302"/>
        <v>3</v>
      </c>
      <c r="F828" s="218">
        <f t="shared" si="302"/>
        <v>13.75</v>
      </c>
      <c r="G828" s="217">
        <f t="shared" si="302"/>
        <v>0</v>
      </c>
      <c r="H828" s="217">
        <f t="shared" si="302"/>
        <v>2.75</v>
      </c>
    </row>
    <row r="829" spans="1:8" x14ac:dyDescent="0.25">
      <c r="A829" s="61"/>
      <c r="B829" s="33" t="s">
        <v>245</v>
      </c>
      <c r="C829" s="73"/>
      <c r="D829" s="73"/>
      <c r="E829" s="73"/>
      <c r="F829" s="74"/>
      <c r="G829" s="60"/>
      <c r="H829" s="61"/>
    </row>
    <row r="830" spans="1:8" x14ac:dyDescent="0.25">
      <c r="A830" s="61">
        <v>1</v>
      </c>
      <c r="B830" s="76" t="s">
        <v>246</v>
      </c>
      <c r="C830" s="68">
        <f>4-1+1-1-1</f>
        <v>2</v>
      </c>
      <c r="D830" s="68">
        <f>C830-G830-H830</f>
        <v>0.25</v>
      </c>
      <c r="E830" s="66">
        <f>D830-F830</f>
        <v>0</v>
      </c>
      <c r="F830" s="71">
        <v>0.25</v>
      </c>
      <c r="G830" s="102">
        <f>0.25+1.5</f>
        <v>1.75</v>
      </c>
      <c r="H830" s="68"/>
    </row>
    <row r="831" spans="1:8" x14ac:dyDescent="0.25">
      <c r="A831" s="61">
        <v>2</v>
      </c>
      <c r="B831" s="76" t="s">
        <v>45</v>
      </c>
      <c r="C831" s="68">
        <v>1</v>
      </c>
      <c r="D831" s="68">
        <f>C831-G831-H831</f>
        <v>0</v>
      </c>
      <c r="E831" s="66">
        <f>D831-F831</f>
        <v>0</v>
      </c>
      <c r="F831" s="71"/>
      <c r="G831" s="60">
        <v>0.25</v>
      </c>
      <c r="H831" s="68">
        <f>1-0.25</f>
        <v>0.75</v>
      </c>
    </row>
    <row r="832" spans="1:8" x14ac:dyDescent="0.25">
      <c r="A832" s="61"/>
      <c r="B832" s="106" t="s">
        <v>20</v>
      </c>
      <c r="C832" s="73">
        <f t="shared" ref="C832:H832" si="303">SUM(C830:C831)</f>
        <v>3</v>
      </c>
      <c r="D832" s="73">
        <f t="shared" si="303"/>
        <v>0.25</v>
      </c>
      <c r="E832" s="73">
        <f t="shared" si="303"/>
        <v>0</v>
      </c>
      <c r="F832" s="74">
        <f t="shared" si="303"/>
        <v>0.25</v>
      </c>
      <c r="G832" s="73">
        <f t="shared" si="303"/>
        <v>2</v>
      </c>
      <c r="H832" s="73">
        <f t="shared" si="303"/>
        <v>0.75</v>
      </c>
    </row>
    <row r="833" spans="1:8" x14ac:dyDescent="0.25">
      <c r="A833" s="61"/>
      <c r="B833" s="106"/>
      <c r="C833" s="73"/>
      <c r="D833" s="73"/>
      <c r="E833" s="73"/>
      <c r="F833" s="74"/>
      <c r="G833" s="73"/>
      <c r="H833" s="73"/>
    </row>
    <row r="834" spans="1:8" x14ac:dyDescent="0.25">
      <c r="A834" s="61"/>
      <c r="B834" s="79" t="s">
        <v>247</v>
      </c>
      <c r="C834" s="73"/>
      <c r="D834" s="73"/>
      <c r="E834" s="73"/>
      <c r="F834" s="74"/>
      <c r="G834" s="60"/>
      <c r="H834" s="61"/>
    </row>
    <row r="835" spans="1:8" ht="26.25" x14ac:dyDescent="0.25">
      <c r="A835" s="61">
        <v>1</v>
      </c>
      <c r="B835" s="103" t="s">
        <v>248</v>
      </c>
      <c r="C835" s="68">
        <v>1</v>
      </c>
      <c r="D835" s="68">
        <f>C835-G835-H835</f>
        <v>0.75</v>
      </c>
      <c r="E835" s="66">
        <f>D835-F835</f>
        <v>0.75</v>
      </c>
      <c r="F835" s="71"/>
      <c r="G835" s="60">
        <v>0.25</v>
      </c>
      <c r="H835" s="68"/>
    </row>
    <row r="836" spans="1:8" x14ac:dyDescent="0.25">
      <c r="A836" s="61">
        <v>2</v>
      </c>
      <c r="B836" s="86" t="s">
        <v>249</v>
      </c>
      <c r="C836" s="68">
        <v>1</v>
      </c>
      <c r="D836" s="68">
        <f>C836-G836-H836</f>
        <v>0.75</v>
      </c>
      <c r="E836" s="66">
        <f>D836-F836</f>
        <v>0.75</v>
      </c>
      <c r="F836" s="71"/>
      <c r="G836" s="60">
        <v>0.25</v>
      </c>
      <c r="H836" s="68"/>
    </row>
    <row r="837" spans="1:8" x14ac:dyDescent="0.25">
      <c r="A837" s="61">
        <v>3</v>
      </c>
      <c r="B837" s="86" t="s">
        <v>250</v>
      </c>
      <c r="C837" s="68">
        <v>1</v>
      </c>
      <c r="D837" s="68">
        <f>C837-G837-H837</f>
        <v>1</v>
      </c>
      <c r="E837" s="66">
        <f>D837-F837</f>
        <v>1</v>
      </c>
      <c r="F837" s="71"/>
      <c r="G837" s="60"/>
      <c r="H837" s="68"/>
    </row>
    <row r="838" spans="1:8" x14ac:dyDescent="0.25">
      <c r="A838" s="61"/>
      <c r="B838" s="106" t="s">
        <v>20</v>
      </c>
      <c r="C838" s="199">
        <f t="shared" ref="C838:H838" si="304">SUM(C835:C837)</f>
        <v>3</v>
      </c>
      <c r="D838" s="199">
        <f t="shared" si="304"/>
        <v>2.5</v>
      </c>
      <c r="E838" s="199">
        <f t="shared" si="304"/>
        <v>2.5</v>
      </c>
      <c r="F838" s="200">
        <f t="shared" si="304"/>
        <v>0</v>
      </c>
      <c r="G838" s="199">
        <f t="shared" si="304"/>
        <v>0.5</v>
      </c>
      <c r="H838" s="199">
        <f t="shared" si="304"/>
        <v>0</v>
      </c>
    </row>
    <row r="839" spans="1:8" x14ac:dyDescent="0.25">
      <c r="A839" s="61"/>
      <c r="B839" s="79" t="s">
        <v>98</v>
      </c>
      <c r="C839" s="68"/>
      <c r="D839" s="68"/>
      <c r="E839" s="68"/>
      <c r="F839" s="71"/>
      <c r="G839" s="60"/>
      <c r="H839" s="61"/>
    </row>
    <row r="840" spans="1:8" x14ac:dyDescent="0.25">
      <c r="A840" s="61">
        <v>4</v>
      </c>
      <c r="B840" s="65" t="s">
        <v>100</v>
      </c>
      <c r="C840" s="68">
        <v>1</v>
      </c>
      <c r="D840" s="68">
        <f t="shared" ref="D840:D855" si="305">C840-G840-H840</f>
        <v>0.75</v>
      </c>
      <c r="E840" s="66">
        <f t="shared" ref="E840:E855" si="306">D840-F840</f>
        <v>0.75</v>
      </c>
      <c r="F840" s="71"/>
      <c r="G840" s="60">
        <v>0.25</v>
      </c>
      <c r="H840" s="68"/>
    </row>
    <row r="841" spans="1:8" x14ac:dyDescent="0.25">
      <c r="A841" s="61">
        <v>5</v>
      </c>
      <c r="B841" s="76" t="s">
        <v>299</v>
      </c>
      <c r="C841" s="68">
        <v>3.75</v>
      </c>
      <c r="D841" s="68">
        <f t="shared" si="305"/>
        <v>3.5</v>
      </c>
      <c r="E841" s="66">
        <f t="shared" si="306"/>
        <v>3.5</v>
      </c>
      <c r="F841" s="71"/>
      <c r="G841" s="60">
        <v>0.25</v>
      </c>
      <c r="H841" s="68"/>
    </row>
    <row r="842" spans="1:8" x14ac:dyDescent="0.25">
      <c r="A842" s="61">
        <v>6</v>
      </c>
      <c r="B842" s="76" t="s">
        <v>101</v>
      </c>
      <c r="C842" s="68">
        <v>2</v>
      </c>
      <c r="D842" s="68">
        <f t="shared" si="305"/>
        <v>1.5</v>
      </c>
      <c r="E842" s="66">
        <f t="shared" si="306"/>
        <v>1.5</v>
      </c>
      <c r="F842" s="71"/>
      <c r="G842" s="102">
        <f>0.25+0.25</f>
        <v>0.5</v>
      </c>
      <c r="H842" s="68"/>
    </row>
    <row r="843" spans="1:8" ht="26.25" x14ac:dyDescent="0.25">
      <c r="A843" s="61">
        <v>7</v>
      </c>
      <c r="B843" s="88" t="s">
        <v>251</v>
      </c>
      <c r="C843" s="68">
        <v>1</v>
      </c>
      <c r="D843" s="68">
        <f t="shared" si="305"/>
        <v>1</v>
      </c>
      <c r="E843" s="66">
        <f t="shared" si="306"/>
        <v>1</v>
      </c>
      <c r="F843" s="71"/>
      <c r="G843" s="60"/>
      <c r="H843" s="68"/>
    </row>
    <row r="844" spans="1:8" x14ac:dyDescent="0.25">
      <c r="A844" s="61">
        <v>8</v>
      </c>
      <c r="B844" s="65" t="s">
        <v>102</v>
      </c>
      <c r="C844" s="68">
        <v>3.5</v>
      </c>
      <c r="D844" s="68">
        <f t="shared" si="305"/>
        <v>3</v>
      </c>
      <c r="E844" s="66">
        <f t="shared" si="306"/>
        <v>3</v>
      </c>
      <c r="F844" s="71"/>
      <c r="G844" s="60">
        <v>0.5</v>
      </c>
      <c r="H844" s="68"/>
    </row>
    <row r="845" spans="1:8" x14ac:dyDescent="0.25">
      <c r="A845" s="61">
        <v>9</v>
      </c>
      <c r="B845" s="65" t="s">
        <v>597</v>
      </c>
      <c r="C845" s="68">
        <f>1-0.5</f>
        <v>0.5</v>
      </c>
      <c r="D845" s="68">
        <f t="shared" si="305"/>
        <v>0.25</v>
      </c>
      <c r="E845" s="66">
        <f t="shared" si="306"/>
        <v>0.25</v>
      </c>
      <c r="F845" s="71"/>
      <c r="G845" s="60">
        <v>0.25</v>
      </c>
      <c r="H845" s="68"/>
    </row>
    <row r="846" spans="1:8" x14ac:dyDescent="0.25">
      <c r="A846" s="61">
        <v>10</v>
      </c>
      <c r="B846" s="65" t="s">
        <v>103</v>
      </c>
      <c r="C846" s="68">
        <v>2.5</v>
      </c>
      <c r="D846" s="68">
        <f t="shared" si="305"/>
        <v>2</v>
      </c>
      <c r="E846" s="66">
        <f t="shared" si="306"/>
        <v>2</v>
      </c>
      <c r="F846" s="71"/>
      <c r="G846" s="60">
        <v>0.5</v>
      </c>
      <c r="H846" s="68"/>
    </row>
    <row r="847" spans="1:8" x14ac:dyDescent="0.25">
      <c r="A847" s="61">
        <v>11</v>
      </c>
      <c r="B847" s="65" t="s">
        <v>252</v>
      </c>
      <c r="C847" s="68">
        <v>1</v>
      </c>
      <c r="D847" s="68">
        <f t="shared" si="305"/>
        <v>0.75</v>
      </c>
      <c r="E847" s="66">
        <f t="shared" si="306"/>
        <v>0.75</v>
      </c>
      <c r="F847" s="71"/>
      <c r="G847" s="60">
        <v>0.25</v>
      </c>
      <c r="H847" s="68"/>
    </row>
    <row r="848" spans="1:8" x14ac:dyDescent="0.25">
      <c r="A848" s="61">
        <v>12</v>
      </c>
      <c r="B848" s="65" t="s">
        <v>253</v>
      </c>
      <c r="C848" s="68">
        <v>1</v>
      </c>
      <c r="D848" s="68">
        <f t="shared" si="305"/>
        <v>1</v>
      </c>
      <c r="E848" s="66">
        <f t="shared" si="306"/>
        <v>1</v>
      </c>
      <c r="F848" s="71"/>
      <c r="G848" s="60"/>
      <c r="H848" s="68"/>
    </row>
    <row r="849" spans="1:9" x14ac:dyDescent="0.25">
      <c r="A849" s="61">
        <v>13</v>
      </c>
      <c r="B849" s="76" t="s">
        <v>104</v>
      </c>
      <c r="C849" s="68">
        <v>2</v>
      </c>
      <c r="D849" s="68">
        <f t="shared" si="305"/>
        <v>1.5</v>
      </c>
      <c r="E849" s="66">
        <f t="shared" si="306"/>
        <v>1.5</v>
      </c>
      <c r="F849" s="71"/>
      <c r="G849" s="60">
        <f>0.25+0.25</f>
        <v>0.5</v>
      </c>
      <c r="H849" s="68"/>
    </row>
    <row r="850" spans="1:9" x14ac:dyDescent="0.25">
      <c r="A850" s="61">
        <v>14</v>
      </c>
      <c r="B850" s="65" t="s">
        <v>105</v>
      </c>
      <c r="C850" s="68">
        <f>6-4+1</f>
        <v>3</v>
      </c>
      <c r="D850" s="68">
        <f t="shared" si="305"/>
        <v>2.5</v>
      </c>
      <c r="E850" s="66">
        <f t="shared" si="306"/>
        <v>2.5</v>
      </c>
      <c r="F850" s="71"/>
      <c r="G850" s="60">
        <v>0.5</v>
      </c>
      <c r="H850" s="68"/>
    </row>
    <row r="851" spans="1:9" x14ac:dyDescent="0.25">
      <c r="A851" s="61">
        <v>15</v>
      </c>
      <c r="B851" s="65" t="s">
        <v>254</v>
      </c>
      <c r="C851" s="68">
        <v>1</v>
      </c>
      <c r="D851" s="68">
        <f t="shared" si="305"/>
        <v>1</v>
      </c>
      <c r="E851" s="66">
        <f t="shared" si="306"/>
        <v>1</v>
      </c>
      <c r="F851" s="71"/>
      <c r="G851" s="60"/>
      <c r="H851" s="68"/>
    </row>
    <row r="852" spans="1:9" x14ac:dyDescent="0.25">
      <c r="A852" s="61">
        <v>16</v>
      </c>
      <c r="B852" s="65" t="s">
        <v>106</v>
      </c>
      <c r="C852" s="68">
        <v>3.75</v>
      </c>
      <c r="D852" s="68">
        <f t="shared" si="305"/>
        <v>3.75</v>
      </c>
      <c r="E852" s="66">
        <f t="shared" si="306"/>
        <v>3.75</v>
      </c>
      <c r="F852" s="71"/>
      <c r="G852" s="60"/>
      <c r="H852" s="68"/>
    </row>
    <row r="853" spans="1:9" x14ac:dyDescent="0.25">
      <c r="A853" s="61">
        <v>17</v>
      </c>
      <c r="B853" s="65" t="s">
        <v>255</v>
      </c>
      <c r="C853" s="68">
        <v>5.5</v>
      </c>
      <c r="D853" s="68">
        <f t="shared" si="305"/>
        <v>4.25</v>
      </c>
      <c r="E853" s="66">
        <f t="shared" si="306"/>
        <v>4.25</v>
      </c>
      <c r="F853" s="71"/>
      <c r="G853" s="60">
        <v>1.25</v>
      </c>
      <c r="H853" s="68"/>
    </row>
    <row r="854" spans="1:9" x14ac:dyDescent="0.25">
      <c r="A854" s="61">
        <v>18</v>
      </c>
      <c r="B854" s="65" t="s">
        <v>256</v>
      </c>
      <c r="C854" s="68">
        <v>2</v>
      </c>
      <c r="D854" s="68">
        <f t="shared" si="305"/>
        <v>2</v>
      </c>
      <c r="E854" s="66">
        <f t="shared" si="306"/>
        <v>2</v>
      </c>
      <c r="F854" s="71"/>
      <c r="G854" s="60"/>
      <c r="H854" s="68"/>
    </row>
    <row r="855" spans="1:9" x14ac:dyDescent="0.25">
      <c r="A855" s="61">
        <v>19</v>
      </c>
      <c r="B855" s="65" t="s">
        <v>108</v>
      </c>
      <c r="C855" s="68">
        <f>5+1-1-1</f>
        <v>4</v>
      </c>
      <c r="D855" s="68">
        <f t="shared" si="305"/>
        <v>3.25</v>
      </c>
      <c r="E855" s="66">
        <f t="shared" si="306"/>
        <v>3.25</v>
      </c>
      <c r="F855" s="71"/>
      <c r="G855" s="60">
        <f>0.25+0.5</f>
        <v>0.75</v>
      </c>
      <c r="H855" s="68"/>
    </row>
    <row r="856" spans="1:9" x14ac:dyDescent="0.25">
      <c r="A856" s="61"/>
      <c r="B856" s="72" t="s">
        <v>54</v>
      </c>
      <c r="C856" s="73">
        <f t="shared" ref="C856:H856" si="307">SUM(C840:C855)</f>
        <v>37.5</v>
      </c>
      <c r="D856" s="73">
        <f t="shared" si="307"/>
        <v>32</v>
      </c>
      <c r="E856" s="73">
        <f t="shared" si="307"/>
        <v>32</v>
      </c>
      <c r="F856" s="74">
        <f t="shared" si="307"/>
        <v>0</v>
      </c>
      <c r="G856" s="73">
        <f t="shared" si="307"/>
        <v>5.5</v>
      </c>
      <c r="H856" s="73">
        <f t="shared" si="307"/>
        <v>0</v>
      </c>
    </row>
    <row r="857" spans="1:9" x14ac:dyDescent="0.25">
      <c r="A857" s="61"/>
      <c r="B857" s="33" t="s">
        <v>300</v>
      </c>
      <c r="C857" s="68"/>
      <c r="D857" s="68"/>
      <c r="E857" s="68"/>
      <c r="F857" s="71"/>
      <c r="G857" s="60"/>
      <c r="H857" s="61"/>
    </row>
    <row r="858" spans="1:9" x14ac:dyDescent="0.25">
      <c r="A858" s="61">
        <v>20</v>
      </c>
      <c r="B858" s="76" t="s">
        <v>257</v>
      </c>
      <c r="C858" s="68">
        <v>1</v>
      </c>
      <c r="D858" s="68">
        <f t="shared" ref="D858:D862" si="308">C858-G858-H858</f>
        <v>0.25</v>
      </c>
      <c r="E858" s="66">
        <f t="shared" ref="E858:E862" si="309">D858-F858</f>
        <v>0.25</v>
      </c>
      <c r="F858" s="71"/>
      <c r="G858" s="61">
        <f>0.25+0.5</f>
        <v>0.75</v>
      </c>
      <c r="H858" s="68"/>
    </row>
    <row r="859" spans="1:9" x14ac:dyDescent="0.25">
      <c r="A859" s="61">
        <v>21</v>
      </c>
      <c r="B859" s="76" t="s">
        <v>258</v>
      </c>
      <c r="C859" s="68">
        <v>1</v>
      </c>
      <c r="D859" s="68">
        <f t="shared" si="308"/>
        <v>0.25</v>
      </c>
      <c r="E859" s="66">
        <f t="shared" si="309"/>
        <v>0.25</v>
      </c>
      <c r="F859" s="71"/>
      <c r="G859" s="61">
        <f>0.25+0.5</f>
        <v>0.75</v>
      </c>
      <c r="H859" s="68"/>
    </row>
    <row r="860" spans="1:9" x14ac:dyDescent="0.25">
      <c r="A860" s="61">
        <v>22</v>
      </c>
      <c r="B860" s="60" t="s">
        <v>259</v>
      </c>
      <c r="C860" s="68">
        <v>4</v>
      </c>
      <c r="D860" s="68">
        <f t="shared" si="308"/>
        <v>1</v>
      </c>
      <c r="E860" s="66">
        <f t="shared" si="309"/>
        <v>1</v>
      </c>
      <c r="F860" s="71"/>
      <c r="G860" s="68">
        <f>1+2</f>
        <v>3</v>
      </c>
      <c r="H860" s="68"/>
    </row>
    <row r="861" spans="1:9" x14ac:dyDescent="0.25">
      <c r="A861" s="61">
        <v>23</v>
      </c>
      <c r="B861" s="60" t="s">
        <v>260</v>
      </c>
      <c r="C861" s="68">
        <v>5</v>
      </c>
      <c r="D861" s="68">
        <f t="shared" si="308"/>
        <v>1.5</v>
      </c>
      <c r="E861" s="66">
        <f t="shared" si="309"/>
        <v>1.5</v>
      </c>
      <c r="F861" s="71"/>
      <c r="G861" s="68">
        <f>0.25+0.75+2.5</f>
        <v>3.5</v>
      </c>
      <c r="H861" s="68"/>
    </row>
    <row r="862" spans="1:9" x14ac:dyDescent="0.25">
      <c r="A862" s="61">
        <v>24</v>
      </c>
      <c r="B862" s="60" t="s">
        <v>106</v>
      </c>
      <c r="C862" s="68">
        <f>1.5-0.5</f>
        <v>1</v>
      </c>
      <c r="D862" s="68">
        <f t="shared" si="308"/>
        <v>0.25</v>
      </c>
      <c r="E862" s="66">
        <f t="shared" si="309"/>
        <v>0.25</v>
      </c>
      <c r="F862" s="71"/>
      <c r="G862" s="61">
        <f>0.25+0.5</f>
        <v>0.75</v>
      </c>
      <c r="H862" s="68"/>
    </row>
    <row r="863" spans="1:9" x14ac:dyDescent="0.25">
      <c r="A863" s="61"/>
      <c r="B863" s="72" t="s">
        <v>54</v>
      </c>
      <c r="C863" s="73">
        <f t="shared" ref="C863:H863" si="310">SUM(C858:C862)</f>
        <v>12</v>
      </c>
      <c r="D863" s="73">
        <f t="shared" si="310"/>
        <v>3.25</v>
      </c>
      <c r="E863" s="73">
        <f t="shared" si="310"/>
        <v>3.25</v>
      </c>
      <c r="F863" s="74">
        <f t="shared" si="310"/>
        <v>0</v>
      </c>
      <c r="G863" s="73">
        <f t="shared" si="310"/>
        <v>8.75</v>
      </c>
      <c r="H863" s="73">
        <f t="shared" si="310"/>
        <v>0</v>
      </c>
    </row>
    <row r="864" spans="1:9" x14ac:dyDescent="0.25">
      <c r="A864" s="61"/>
      <c r="B864" s="157" t="s">
        <v>598</v>
      </c>
      <c r="C864" s="139">
        <f t="shared" ref="C864:H864" si="311">C863+C856+C838+C832+C828+C817+C807+C792+C780+C764+C741+C726+C707+C675+C663+C660+C690</f>
        <v>277.75</v>
      </c>
      <c r="D864" s="139">
        <f t="shared" si="311"/>
        <v>136</v>
      </c>
      <c r="E864" s="139">
        <f t="shared" si="311"/>
        <v>44</v>
      </c>
      <c r="F864" s="154">
        <f t="shared" si="311"/>
        <v>92</v>
      </c>
      <c r="G864" s="139">
        <f t="shared" si="311"/>
        <v>118.75</v>
      </c>
      <c r="H864" s="139">
        <f t="shared" si="311"/>
        <v>23</v>
      </c>
      <c r="I864" s="17">
        <f>SUM(E864:H864)</f>
        <v>277.75</v>
      </c>
    </row>
    <row r="865" spans="1:9" x14ac:dyDescent="0.25">
      <c r="A865" s="61"/>
      <c r="B865" s="268" t="s">
        <v>261</v>
      </c>
      <c r="C865" s="137">
        <f t="shared" ref="C865:H865" si="312">SUM(C866:C869)</f>
        <v>277.75</v>
      </c>
      <c r="D865" s="137">
        <f t="shared" si="312"/>
        <v>136</v>
      </c>
      <c r="E865" s="137">
        <f t="shared" si="312"/>
        <v>44</v>
      </c>
      <c r="F865" s="208">
        <f t="shared" si="312"/>
        <v>92</v>
      </c>
      <c r="G865" s="137">
        <f t="shared" si="312"/>
        <v>118.75</v>
      </c>
      <c r="H865" s="137">
        <f t="shared" si="312"/>
        <v>23</v>
      </c>
      <c r="I865" s="17">
        <f>SUM(E865:H865)</f>
        <v>277.75</v>
      </c>
    </row>
    <row r="866" spans="1:9" x14ac:dyDescent="0.25">
      <c r="A866" s="61"/>
      <c r="B866" s="157" t="s">
        <v>599</v>
      </c>
      <c r="C866" s="139">
        <f t="shared" ref="C866:H866" si="313">C823+C822+C809+C794+C782+C766+C743+C728+C709+C692+C677+C657+C656+C654+C655</f>
        <v>46.25</v>
      </c>
      <c r="D866" s="139">
        <f t="shared" si="313"/>
        <v>21.5</v>
      </c>
      <c r="E866" s="139">
        <f t="shared" si="313"/>
        <v>1.5</v>
      </c>
      <c r="F866" s="154">
        <f t="shared" si="313"/>
        <v>20</v>
      </c>
      <c r="G866" s="139">
        <f t="shared" si="313"/>
        <v>19.5</v>
      </c>
      <c r="H866" s="139">
        <f t="shared" si="313"/>
        <v>5.25</v>
      </c>
      <c r="I866" s="17">
        <f t="shared" ref="I866:I869" si="314">SUM(E866:H866)</f>
        <v>46.25</v>
      </c>
    </row>
    <row r="867" spans="1:9" x14ac:dyDescent="0.25">
      <c r="A867" s="61"/>
      <c r="B867" s="157" t="s">
        <v>29</v>
      </c>
      <c r="C867" s="139">
        <f t="shared" ref="C867:H867" si="315">C830+C825+C824+C819+C810+C795+C783+C767+C744+C729+C710+C693+C678+C662+C659+C658</f>
        <v>109.25</v>
      </c>
      <c r="D867" s="139">
        <f t="shared" si="315"/>
        <v>49.75</v>
      </c>
      <c r="E867" s="139">
        <f t="shared" si="315"/>
        <v>3.75</v>
      </c>
      <c r="F867" s="154">
        <f t="shared" si="315"/>
        <v>46</v>
      </c>
      <c r="G867" s="139">
        <f t="shared" si="315"/>
        <v>48.5</v>
      </c>
      <c r="H867" s="139">
        <f t="shared" si="315"/>
        <v>11</v>
      </c>
      <c r="I867" s="17">
        <f t="shared" si="314"/>
        <v>109.25</v>
      </c>
    </row>
    <row r="868" spans="1:9" x14ac:dyDescent="0.25">
      <c r="A868" s="61"/>
      <c r="B868" s="157" t="s">
        <v>262</v>
      </c>
      <c r="C868" s="139">
        <f t="shared" ref="C868:H868" si="316">C831+C827+C826+C820+C811+C796+C784+C768+C745+C730+C711+C679+C694</f>
        <v>67.75</v>
      </c>
      <c r="D868" s="139">
        <f t="shared" si="316"/>
        <v>27</v>
      </c>
      <c r="E868" s="139">
        <f t="shared" si="316"/>
        <v>1</v>
      </c>
      <c r="F868" s="154">
        <f t="shared" si="316"/>
        <v>26</v>
      </c>
      <c r="G868" s="139">
        <f t="shared" si="316"/>
        <v>34</v>
      </c>
      <c r="H868" s="139">
        <f t="shared" si="316"/>
        <v>6.75</v>
      </c>
      <c r="I868" s="17">
        <f t="shared" si="314"/>
        <v>67.75</v>
      </c>
    </row>
    <row r="869" spans="1:9" x14ac:dyDescent="0.25">
      <c r="A869" s="61"/>
      <c r="B869" s="157" t="s">
        <v>30</v>
      </c>
      <c r="C869" s="139">
        <f t="shared" ref="C869:H869" si="317">C863+C856+C838+C797</f>
        <v>54.5</v>
      </c>
      <c r="D869" s="139">
        <f t="shared" si="317"/>
        <v>37.75</v>
      </c>
      <c r="E869" s="139">
        <f t="shared" si="317"/>
        <v>37.75</v>
      </c>
      <c r="F869" s="154">
        <f t="shared" si="317"/>
        <v>0</v>
      </c>
      <c r="G869" s="139">
        <f t="shared" si="317"/>
        <v>16.75</v>
      </c>
      <c r="H869" s="139">
        <f t="shared" si="317"/>
        <v>0</v>
      </c>
      <c r="I869" s="17">
        <f t="shared" si="314"/>
        <v>54.5</v>
      </c>
    </row>
    <row r="870" spans="1:9" ht="18.75" x14ac:dyDescent="0.3">
      <c r="A870" s="269"/>
      <c r="B870" s="270" t="s">
        <v>508</v>
      </c>
      <c r="C870" s="68"/>
      <c r="D870" s="68"/>
      <c r="E870" s="68"/>
      <c r="F870" s="71"/>
      <c r="G870" s="60"/>
      <c r="H870" s="61"/>
    </row>
    <row r="871" spans="1:9" ht="18.75" x14ac:dyDescent="0.3">
      <c r="A871" s="269"/>
      <c r="B871" s="270" t="s">
        <v>509</v>
      </c>
      <c r="C871" s="68"/>
      <c r="D871" s="68"/>
      <c r="E871" s="68"/>
      <c r="F871" s="71"/>
      <c r="G871" s="60"/>
      <c r="H871" s="61"/>
    </row>
    <row r="872" spans="1:9" x14ac:dyDescent="0.25">
      <c r="A872" s="61"/>
      <c r="B872" s="62" t="s">
        <v>15</v>
      </c>
      <c r="C872" s="58"/>
      <c r="D872" s="58"/>
      <c r="E872" s="58"/>
      <c r="F872" s="59"/>
      <c r="G872" s="60"/>
      <c r="H872" s="61"/>
    </row>
    <row r="873" spans="1:9" x14ac:dyDescent="0.25">
      <c r="A873" s="56">
        <v>1</v>
      </c>
      <c r="B873" s="76" t="s">
        <v>263</v>
      </c>
      <c r="C873" s="68">
        <v>1</v>
      </c>
      <c r="D873" s="68">
        <f t="shared" ref="D873:D876" si="318">C873-G873-H873</f>
        <v>0.5</v>
      </c>
      <c r="E873" s="66">
        <f t="shared" ref="E873:E876" si="319">D873-F873</f>
        <v>0.5</v>
      </c>
      <c r="F873" s="71"/>
      <c r="G873" s="68">
        <f>0.25+0.25</f>
        <v>0.5</v>
      </c>
      <c r="H873" s="68"/>
    </row>
    <row r="874" spans="1:9" ht="26.25" x14ac:dyDescent="0.25">
      <c r="A874" s="56">
        <v>2</v>
      </c>
      <c r="B874" s="88" t="s">
        <v>207</v>
      </c>
      <c r="C874" s="68">
        <f>1-1+1</f>
        <v>1</v>
      </c>
      <c r="D874" s="68">
        <f t="shared" si="318"/>
        <v>0.5</v>
      </c>
      <c r="E874" s="66">
        <f t="shared" si="319"/>
        <v>0.5</v>
      </c>
      <c r="F874" s="71"/>
      <c r="G874" s="68">
        <v>0.5</v>
      </c>
      <c r="H874" s="68"/>
    </row>
    <row r="875" spans="1:9" x14ac:dyDescent="0.25">
      <c r="A875" s="61">
        <v>3</v>
      </c>
      <c r="B875" s="76" t="s">
        <v>43</v>
      </c>
      <c r="C875" s="68">
        <v>1</v>
      </c>
      <c r="D875" s="68">
        <f t="shared" si="318"/>
        <v>0.5</v>
      </c>
      <c r="E875" s="66">
        <f t="shared" si="319"/>
        <v>0.5</v>
      </c>
      <c r="F875" s="71"/>
      <c r="G875" s="68">
        <v>0.5</v>
      </c>
      <c r="H875" s="68"/>
    </row>
    <row r="876" spans="1:9" x14ac:dyDescent="0.25">
      <c r="A876" s="61">
        <v>4</v>
      </c>
      <c r="B876" s="76" t="s">
        <v>208</v>
      </c>
      <c r="C876" s="68">
        <v>1</v>
      </c>
      <c r="D876" s="68">
        <f t="shared" si="318"/>
        <v>0.75</v>
      </c>
      <c r="E876" s="66">
        <f t="shared" si="319"/>
        <v>0.75</v>
      </c>
      <c r="F876" s="71"/>
      <c r="G876" s="61">
        <v>0.25</v>
      </c>
      <c r="H876" s="68"/>
    </row>
    <row r="877" spans="1:9" x14ac:dyDescent="0.25">
      <c r="A877" s="61"/>
      <c r="B877" s="72" t="s">
        <v>20</v>
      </c>
      <c r="C877" s="73">
        <f t="shared" ref="C877:H877" si="320">SUM(C873:C876)</f>
        <v>4</v>
      </c>
      <c r="D877" s="73">
        <f t="shared" si="320"/>
        <v>2.25</v>
      </c>
      <c r="E877" s="73">
        <f t="shared" si="320"/>
        <v>2.25</v>
      </c>
      <c r="F877" s="74">
        <f t="shared" si="320"/>
        <v>0</v>
      </c>
      <c r="G877" s="73">
        <f t="shared" si="320"/>
        <v>1.75</v>
      </c>
      <c r="H877" s="73">
        <f t="shared" si="320"/>
        <v>0</v>
      </c>
    </row>
    <row r="878" spans="1:9" x14ac:dyDescent="0.25">
      <c r="A878" s="56"/>
      <c r="B878" s="33" t="s">
        <v>46</v>
      </c>
      <c r="C878" s="73"/>
      <c r="D878" s="73"/>
      <c r="E878" s="73"/>
      <c r="F878" s="74"/>
      <c r="G878" s="60"/>
      <c r="H878" s="61"/>
    </row>
    <row r="879" spans="1:9" x14ac:dyDescent="0.25">
      <c r="A879" s="56">
        <v>1</v>
      </c>
      <c r="B879" s="70" t="s">
        <v>24</v>
      </c>
      <c r="C879" s="68">
        <v>1</v>
      </c>
      <c r="D879" s="68">
        <f>C879-G879-H879</f>
        <v>0.5</v>
      </c>
      <c r="E879" s="66">
        <f>D879-F879</f>
        <v>0.5</v>
      </c>
      <c r="F879" s="71"/>
      <c r="G879" s="68">
        <f>0.25+0.25</f>
        <v>0.5</v>
      </c>
      <c r="H879" s="68"/>
    </row>
    <row r="880" spans="1:9" x14ac:dyDescent="0.25">
      <c r="A880" s="56">
        <v>2</v>
      </c>
      <c r="B880" s="60" t="s">
        <v>35</v>
      </c>
      <c r="C880" s="223">
        <f>0.5+0.5</f>
        <v>1</v>
      </c>
      <c r="D880" s="223">
        <f>C880-G880-H880</f>
        <v>1</v>
      </c>
      <c r="E880" s="66">
        <f>D880-F880</f>
        <v>1</v>
      </c>
      <c r="F880" s="224"/>
      <c r="G880" s="60"/>
      <c r="H880" s="68"/>
    </row>
    <row r="881" spans="1:8" x14ac:dyDescent="0.25">
      <c r="A881" s="56"/>
      <c r="B881" s="72" t="s">
        <v>20</v>
      </c>
      <c r="C881" s="271">
        <f t="shared" ref="C881:H881" si="321">SUM(C879:C880)</f>
        <v>2</v>
      </c>
      <c r="D881" s="271">
        <f t="shared" si="321"/>
        <v>1.5</v>
      </c>
      <c r="E881" s="271">
        <f t="shared" si="321"/>
        <v>1.5</v>
      </c>
      <c r="F881" s="272">
        <f t="shared" si="321"/>
        <v>0</v>
      </c>
      <c r="G881" s="271">
        <f t="shared" si="321"/>
        <v>0.5</v>
      </c>
      <c r="H881" s="271">
        <f t="shared" si="321"/>
        <v>0</v>
      </c>
    </row>
    <row r="882" spans="1:8" x14ac:dyDescent="0.25">
      <c r="A882" s="56"/>
      <c r="B882" s="90" t="s">
        <v>600</v>
      </c>
      <c r="C882" s="58"/>
      <c r="D882" s="58"/>
      <c r="E882" s="58"/>
      <c r="F882" s="59"/>
      <c r="G882" s="60"/>
      <c r="H882" s="61"/>
    </row>
    <row r="883" spans="1:8" x14ac:dyDescent="0.25">
      <c r="A883" s="5"/>
      <c r="B883" s="257" t="s">
        <v>510</v>
      </c>
      <c r="C883" s="68"/>
      <c r="D883" s="68"/>
      <c r="E883" s="68"/>
      <c r="F883" s="71"/>
      <c r="G883" s="60"/>
      <c r="H883" s="61"/>
    </row>
    <row r="884" spans="1:8" ht="26.25" x14ac:dyDescent="0.25">
      <c r="A884" s="56">
        <v>1</v>
      </c>
      <c r="B884" s="273" t="s">
        <v>264</v>
      </c>
      <c r="C884" s="66">
        <v>1</v>
      </c>
      <c r="D884" s="66">
        <f>C884-G884-H884</f>
        <v>0.25</v>
      </c>
      <c r="E884" s="66">
        <f t="shared" ref="E884:E892" si="322">D884-F884</f>
        <v>0</v>
      </c>
      <c r="F884" s="67">
        <v>0.25</v>
      </c>
      <c r="G884" s="61"/>
      <c r="H884" s="68">
        <v>0.75</v>
      </c>
    </row>
    <row r="885" spans="1:8" x14ac:dyDescent="0.25">
      <c r="A885" s="56">
        <v>2</v>
      </c>
      <c r="B885" s="273" t="s">
        <v>265</v>
      </c>
      <c r="C885" s="66">
        <f>2.5+0.5+1</f>
        <v>4</v>
      </c>
      <c r="D885" s="66">
        <f>C885-G885-H885</f>
        <v>0.25</v>
      </c>
      <c r="E885" s="66">
        <f t="shared" si="322"/>
        <v>0</v>
      </c>
      <c r="F885" s="67">
        <f>0.25</f>
        <v>0.25</v>
      </c>
      <c r="G885" s="68">
        <f>1+1+0.25</f>
        <v>2.25</v>
      </c>
      <c r="H885" s="68">
        <f>1+0.75-0.25</f>
        <v>1.5</v>
      </c>
    </row>
    <row r="886" spans="1:8" x14ac:dyDescent="0.25">
      <c r="A886" s="56">
        <v>3</v>
      </c>
      <c r="B886" s="273" t="s">
        <v>536</v>
      </c>
      <c r="C886" s="66">
        <v>0.25</v>
      </c>
      <c r="D886" s="66"/>
      <c r="E886" s="66">
        <f t="shared" si="322"/>
        <v>0</v>
      </c>
      <c r="F886" s="67"/>
      <c r="G886" s="68">
        <v>0.25</v>
      </c>
      <c r="H886" s="68"/>
    </row>
    <row r="887" spans="1:8" x14ac:dyDescent="0.25">
      <c r="A887" s="56">
        <v>4</v>
      </c>
      <c r="B887" s="273" t="s">
        <v>53</v>
      </c>
      <c r="C887" s="66">
        <v>1</v>
      </c>
      <c r="D887" s="66">
        <f t="shared" ref="D887:D892" si="323">C887-G887-H887</f>
        <v>0.25</v>
      </c>
      <c r="E887" s="66">
        <f t="shared" si="322"/>
        <v>0</v>
      </c>
      <c r="F887" s="67">
        <v>0.25</v>
      </c>
      <c r="G887" s="68"/>
      <c r="H887" s="68">
        <v>0.75</v>
      </c>
    </row>
    <row r="888" spans="1:8" x14ac:dyDescent="0.25">
      <c r="A888" s="56">
        <v>5</v>
      </c>
      <c r="B888" s="273" t="s">
        <v>210</v>
      </c>
      <c r="C888" s="66">
        <f>6.25+0.25</f>
        <v>6.5</v>
      </c>
      <c r="D888" s="66">
        <f t="shared" si="323"/>
        <v>1.25</v>
      </c>
      <c r="E888" s="66">
        <f t="shared" si="322"/>
        <v>0</v>
      </c>
      <c r="F888" s="67">
        <f>0.25+0.75+0.25</f>
        <v>1.25</v>
      </c>
      <c r="G888" s="68">
        <f>3.5+0.25</f>
        <v>3.75</v>
      </c>
      <c r="H888" s="68">
        <v>1.5</v>
      </c>
    </row>
    <row r="889" spans="1:8" x14ac:dyDescent="0.25">
      <c r="A889" s="56">
        <v>6</v>
      </c>
      <c r="B889" s="273" t="s">
        <v>94</v>
      </c>
      <c r="C889" s="66">
        <v>1</v>
      </c>
      <c r="D889" s="66">
        <f t="shared" si="323"/>
        <v>0.25</v>
      </c>
      <c r="E889" s="66">
        <f t="shared" si="322"/>
        <v>0</v>
      </c>
      <c r="F889" s="67">
        <v>0.25</v>
      </c>
      <c r="G889" s="61"/>
      <c r="H889" s="68">
        <v>0.75</v>
      </c>
    </row>
    <row r="890" spans="1:8" x14ac:dyDescent="0.25">
      <c r="A890" s="56">
        <v>7</v>
      </c>
      <c r="B890" s="273" t="s">
        <v>213</v>
      </c>
      <c r="C890" s="66">
        <v>1</v>
      </c>
      <c r="D890" s="66">
        <f t="shared" si="323"/>
        <v>0.25</v>
      </c>
      <c r="E890" s="66">
        <f t="shared" si="322"/>
        <v>0</v>
      </c>
      <c r="F890" s="67">
        <v>0.25</v>
      </c>
      <c r="G890" s="61"/>
      <c r="H890" s="68">
        <v>0.75</v>
      </c>
    </row>
    <row r="891" spans="1:8" x14ac:dyDescent="0.25">
      <c r="A891" s="56">
        <v>8</v>
      </c>
      <c r="B891" s="273" t="s">
        <v>44</v>
      </c>
      <c r="C891" s="66">
        <v>1</v>
      </c>
      <c r="D891" s="66">
        <f t="shared" si="323"/>
        <v>0.25</v>
      </c>
      <c r="E891" s="66">
        <f t="shared" si="322"/>
        <v>0</v>
      </c>
      <c r="F891" s="67">
        <v>0.25</v>
      </c>
      <c r="G891" s="61"/>
      <c r="H891" s="68">
        <v>0.75</v>
      </c>
    </row>
    <row r="892" spans="1:8" x14ac:dyDescent="0.25">
      <c r="A892" s="61">
        <v>9</v>
      </c>
      <c r="B892" s="273" t="s">
        <v>45</v>
      </c>
      <c r="C892" s="66">
        <f>7.75-1</f>
        <v>6.75</v>
      </c>
      <c r="D892" s="66">
        <f t="shared" si="323"/>
        <v>2</v>
      </c>
      <c r="E892" s="66">
        <f t="shared" si="322"/>
        <v>0</v>
      </c>
      <c r="F892" s="67">
        <f>0.25+0.25+0.5+0.75+0.25</f>
        <v>2</v>
      </c>
      <c r="G892" s="61">
        <f>2.75+0.5-1+0.25+0.25</f>
        <v>2.75</v>
      </c>
      <c r="H892" s="68">
        <f>1+1.5-0.25-0.25</f>
        <v>2</v>
      </c>
    </row>
    <row r="893" spans="1:8" x14ac:dyDescent="0.25">
      <c r="A893" s="56"/>
      <c r="B893" s="141" t="s">
        <v>57</v>
      </c>
      <c r="C893" s="73">
        <f t="shared" ref="C893:H893" si="324">SUM(C884:C892)</f>
        <v>22.5</v>
      </c>
      <c r="D893" s="73">
        <f t="shared" si="324"/>
        <v>4.75</v>
      </c>
      <c r="E893" s="73">
        <f t="shared" si="324"/>
        <v>0</v>
      </c>
      <c r="F893" s="74">
        <f t="shared" si="324"/>
        <v>4.75</v>
      </c>
      <c r="G893" s="73">
        <f t="shared" si="324"/>
        <v>9</v>
      </c>
      <c r="H893" s="73">
        <f t="shared" si="324"/>
        <v>8.75</v>
      </c>
    </row>
    <row r="894" spans="1:8" x14ac:dyDescent="0.25">
      <c r="A894" s="56"/>
      <c r="B894" s="141"/>
      <c r="C894" s="83">
        <f t="shared" ref="C894:H894" si="325">SUM(C895:C897)</f>
        <v>22.5</v>
      </c>
      <c r="D894" s="83">
        <f t="shared" si="325"/>
        <v>4.75</v>
      </c>
      <c r="E894" s="83">
        <f t="shared" si="325"/>
        <v>0</v>
      </c>
      <c r="F894" s="84">
        <f t="shared" si="325"/>
        <v>4.75</v>
      </c>
      <c r="G894" s="83">
        <f t="shared" si="325"/>
        <v>9</v>
      </c>
      <c r="H894" s="83">
        <f t="shared" si="325"/>
        <v>8.75</v>
      </c>
    </row>
    <row r="895" spans="1:8" x14ac:dyDescent="0.25">
      <c r="A895" s="56"/>
      <c r="B895" s="141" t="s">
        <v>211</v>
      </c>
      <c r="C895" s="73">
        <f t="shared" ref="C895:H895" si="326">SUM(C884:C886)</f>
        <v>5.25</v>
      </c>
      <c r="D895" s="73">
        <f t="shared" si="326"/>
        <v>0.5</v>
      </c>
      <c r="E895" s="73">
        <f t="shared" si="326"/>
        <v>0</v>
      </c>
      <c r="F895" s="74">
        <f t="shared" si="326"/>
        <v>0.5</v>
      </c>
      <c r="G895" s="73">
        <f t="shared" si="326"/>
        <v>2.5</v>
      </c>
      <c r="H895" s="73">
        <f t="shared" si="326"/>
        <v>2.25</v>
      </c>
    </row>
    <row r="896" spans="1:8" x14ac:dyDescent="0.25">
      <c r="A896" s="61"/>
      <c r="B896" s="72" t="s">
        <v>29</v>
      </c>
      <c r="C896" s="73">
        <f t="shared" ref="C896:H896" si="327">SUM(C887:C890)</f>
        <v>9.5</v>
      </c>
      <c r="D896" s="73">
        <f t="shared" si="327"/>
        <v>2</v>
      </c>
      <c r="E896" s="73">
        <f t="shared" si="327"/>
        <v>0</v>
      </c>
      <c r="F896" s="74">
        <f t="shared" si="327"/>
        <v>2</v>
      </c>
      <c r="G896" s="73">
        <f t="shared" si="327"/>
        <v>3.75</v>
      </c>
      <c r="H896" s="73">
        <f t="shared" si="327"/>
        <v>3.75</v>
      </c>
    </row>
    <row r="897" spans="1:8" x14ac:dyDescent="0.25">
      <c r="A897" s="61"/>
      <c r="B897" s="72" t="s">
        <v>262</v>
      </c>
      <c r="C897" s="73">
        <f t="shared" ref="C897:H897" si="328">SUM(C891:C892)</f>
        <v>7.75</v>
      </c>
      <c r="D897" s="73">
        <f t="shared" si="328"/>
        <v>2.25</v>
      </c>
      <c r="E897" s="73">
        <f t="shared" si="328"/>
        <v>0</v>
      </c>
      <c r="F897" s="74">
        <f t="shared" si="328"/>
        <v>2.25</v>
      </c>
      <c r="G897" s="73">
        <f t="shared" si="328"/>
        <v>2.75</v>
      </c>
      <c r="H897" s="73">
        <f t="shared" si="328"/>
        <v>2.75</v>
      </c>
    </row>
    <row r="898" spans="1:8" x14ac:dyDescent="0.25">
      <c r="A898" s="61"/>
      <c r="B898" s="33" t="s">
        <v>512</v>
      </c>
      <c r="C898" s="73"/>
      <c r="D898" s="73"/>
      <c r="E898" s="73"/>
      <c r="F898" s="74"/>
      <c r="G898" s="60"/>
      <c r="H898" s="61"/>
    </row>
    <row r="899" spans="1:8" x14ac:dyDescent="0.25">
      <c r="A899" s="61"/>
      <c r="B899" s="100" t="s">
        <v>511</v>
      </c>
      <c r="C899" s="68"/>
      <c r="D899" s="68"/>
      <c r="E899" s="68"/>
      <c r="F899" s="71"/>
      <c r="G899" s="60"/>
      <c r="H899" s="61"/>
    </row>
    <row r="900" spans="1:8" x14ac:dyDescent="0.25">
      <c r="A900" s="61">
        <v>1</v>
      </c>
      <c r="B900" s="76" t="s">
        <v>266</v>
      </c>
      <c r="C900" s="68">
        <v>1</v>
      </c>
      <c r="D900" s="68">
        <f t="shared" ref="D900:D906" si="329">C900-G900-H900</f>
        <v>0.25</v>
      </c>
      <c r="E900" s="66">
        <f t="shared" ref="E900:E906" si="330">D900-F900</f>
        <v>0.25</v>
      </c>
      <c r="F900" s="71"/>
      <c r="G900" s="61"/>
      <c r="H900" s="68">
        <v>0.75</v>
      </c>
    </row>
    <row r="901" spans="1:8" x14ac:dyDescent="0.25">
      <c r="A901" s="61">
        <v>2</v>
      </c>
      <c r="B901" s="76" t="s">
        <v>81</v>
      </c>
      <c r="C901" s="68">
        <v>4</v>
      </c>
      <c r="D901" s="68">
        <f t="shared" si="329"/>
        <v>0.5</v>
      </c>
      <c r="E901" s="66">
        <f t="shared" si="330"/>
        <v>0.5</v>
      </c>
      <c r="F901" s="71"/>
      <c r="G901" s="68">
        <v>2</v>
      </c>
      <c r="H901" s="68">
        <v>1.5</v>
      </c>
    </row>
    <row r="902" spans="1:8" x14ac:dyDescent="0.25">
      <c r="A902" s="61">
        <v>3</v>
      </c>
      <c r="B902" s="76" t="s">
        <v>53</v>
      </c>
      <c r="C902" s="68">
        <v>1</v>
      </c>
      <c r="D902" s="68">
        <f t="shared" si="329"/>
        <v>0.25</v>
      </c>
      <c r="E902" s="66">
        <f t="shared" si="330"/>
        <v>0.25</v>
      </c>
      <c r="F902" s="71"/>
      <c r="G902" s="68"/>
      <c r="H902" s="68">
        <v>0.75</v>
      </c>
    </row>
    <row r="903" spans="1:8" x14ac:dyDescent="0.25">
      <c r="A903" s="61">
        <v>4</v>
      </c>
      <c r="B903" s="76" t="s">
        <v>210</v>
      </c>
      <c r="C903" s="68">
        <v>10.5</v>
      </c>
      <c r="D903" s="68">
        <f t="shared" si="329"/>
        <v>2</v>
      </c>
      <c r="E903" s="66">
        <f t="shared" si="330"/>
        <v>2</v>
      </c>
      <c r="F903" s="71"/>
      <c r="G903" s="68">
        <v>5.5</v>
      </c>
      <c r="H903" s="68">
        <v>3</v>
      </c>
    </row>
    <row r="904" spans="1:8" x14ac:dyDescent="0.25">
      <c r="A904" s="61">
        <v>5</v>
      </c>
      <c r="B904" s="76" t="s">
        <v>94</v>
      </c>
      <c r="C904" s="68">
        <v>2</v>
      </c>
      <c r="D904" s="68">
        <f t="shared" si="329"/>
        <v>0.25</v>
      </c>
      <c r="E904" s="66">
        <f t="shared" si="330"/>
        <v>0.25</v>
      </c>
      <c r="F904" s="71"/>
      <c r="G904" s="68">
        <v>1</v>
      </c>
      <c r="H904" s="68">
        <v>0.75</v>
      </c>
    </row>
    <row r="905" spans="1:8" x14ac:dyDescent="0.25">
      <c r="A905" s="61">
        <v>6</v>
      </c>
      <c r="B905" s="76" t="s">
        <v>44</v>
      </c>
      <c r="C905" s="68">
        <v>1</v>
      </c>
      <c r="D905" s="68">
        <f t="shared" si="329"/>
        <v>0.25</v>
      </c>
      <c r="E905" s="66">
        <f t="shared" si="330"/>
        <v>0.25</v>
      </c>
      <c r="F905" s="71"/>
      <c r="G905" s="61"/>
      <c r="H905" s="68">
        <v>0.75</v>
      </c>
    </row>
    <row r="906" spans="1:8" x14ac:dyDescent="0.25">
      <c r="A906" s="56">
        <v>7</v>
      </c>
      <c r="B906" s="76" t="s">
        <v>45</v>
      </c>
      <c r="C906" s="68">
        <f>11-0.25</f>
        <v>10.75</v>
      </c>
      <c r="D906" s="68">
        <f t="shared" si="329"/>
        <v>2</v>
      </c>
      <c r="E906" s="66">
        <f t="shared" si="330"/>
        <v>2</v>
      </c>
      <c r="F906" s="71"/>
      <c r="G906" s="61">
        <v>4.25</v>
      </c>
      <c r="H906" s="68">
        <v>4.5</v>
      </c>
    </row>
    <row r="907" spans="1:8" x14ac:dyDescent="0.25">
      <c r="A907" s="123"/>
      <c r="B907" s="72" t="s">
        <v>57</v>
      </c>
      <c r="C907" s="73">
        <f t="shared" ref="C907:H907" si="331">SUM(C900:C906)</f>
        <v>30.25</v>
      </c>
      <c r="D907" s="73">
        <f t="shared" si="331"/>
        <v>5.5</v>
      </c>
      <c r="E907" s="73">
        <f t="shared" si="331"/>
        <v>5.5</v>
      </c>
      <c r="F907" s="74">
        <f t="shared" si="331"/>
        <v>0</v>
      </c>
      <c r="G907" s="73">
        <f t="shared" si="331"/>
        <v>12.75</v>
      </c>
      <c r="H907" s="73">
        <f t="shared" si="331"/>
        <v>12</v>
      </c>
    </row>
    <row r="908" spans="1:8" x14ac:dyDescent="0.25">
      <c r="A908" s="123"/>
      <c r="B908" s="72"/>
      <c r="C908" s="83">
        <f t="shared" ref="C908:H908" si="332">SUM(C909:C911)</f>
        <v>30.25</v>
      </c>
      <c r="D908" s="83">
        <f t="shared" si="332"/>
        <v>5.5</v>
      </c>
      <c r="E908" s="83">
        <f t="shared" si="332"/>
        <v>5.5</v>
      </c>
      <c r="F908" s="84">
        <f t="shared" si="332"/>
        <v>0</v>
      </c>
      <c r="G908" s="83">
        <f t="shared" si="332"/>
        <v>12.75</v>
      </c>
      <c r="H908" s="83">
        <f t="shared" si="332"/>
        <v>12</v>
      </c>
    </row>
    <row r="909" spans="1:8" x14ac:dyDescent="0.25">
      <c r="A909" s="123"/>
      <c r="B909" s="82" t="s">
        <v>211</v>
      </c>
      <c r="C909" s="73">
        <f t="shared" ref="C909:H909" si="333">SUM(C900:C901)</f>
        <v>5</v>
      </c>
      <c r="D909" s="73">
        <f t="shared" si="333"/>
        <v>0.75</v>
      </c>
      <c r="E909" s="73">
        <f t="shared" si="333"/>
        <v>0.75</v>
      </c>
      <c r="F909" s="74">
        <f t="shared" si="333"/>
        <v>0</v>
      </c>
      <c r="G909" s="73">
        <f t="shared" si="333"/>
        <v>2</v>
      </c>
      <c r="H909" s="73">
        <f t="shared" si="333"/>
        <v>2.25</v>
      </c>
    </row>
    <row r="910" spans="1:8" x14ac:dyDescent="0.25">
      <c r="A910" s="123"/>
      <c r="B910" s="82" t="s">
        <v>583</v>
      </c>
      <c r="C910" s="73">
        <f t="shared" ref="C910:H910" si="334">SUM(C902:C904)</f>
        <v>13.5</v>
      </c>
      <c r="D910" s="73">
        <f t="shared" si="334"/>
        <v>2.5</v>
      </c>
      <c r="E910" s="73">
        <f t="shared" si="334"/>
        <v>2.5</v>
      </c>
      <c r="F910" s="74">
        <f t="shared" si="334"/>
        <v>0</v>
      </c>
      <c r="G910" s="73">
        <f t="shared" si="334"/>
        <v>6.5</v>
      </c>
      <c r="H910" s="73">
        <f t="shared" si="334"/>
        <v>4.5</v>
      </c>
    </row>
    <row r="911" spans="1:8" x14ac:dyDescent="0.25">
      <c r="A911" s="123"/>
      <c r="B911" s="82" t="s">
        <v>179</v>
      </c>
      <c r="C911" s="73">
        <f t="shared" ref="C911:H911" si="335">SUM(C905:C906)</f>
        <v>11.75</v>
      </c>
      <c r="D911" s="73">
        <f t="shared" si="335"/>
        <v>2.25</v>
      </c>
      <c r="E911" s="73">
        <f t="shared" si="335"/>
        <v>2.25</v>
      </c>
      <c r="F911" s="74">
        <f t="shared" si="335"/>
        <v>0</v>
      </c>
      <c r="G911" s="73">
        <f t="shared" si="335"/>
        <v>4.25</v>
      </c>
      <c r="H911" s="73">
        <f t="shared" si="335"/>
        <v>5.25</v>
      </c>
    </row>
    <row r="912" spans="1:8" x14ac:dyDescent="0.25">
      <c r="A912" s="61"/>
      <c r="B912" s="90" t="s">
        <v>267</v>
      </c>
      <c r="C912" s="58"/>
      <c r="D912" s="58"/>
      <c r="E912" s="58"/>
      <c r="F912" s="59"/>
      <c r="G912" s="60"/>
      <c r="H912" s="61"/>
    </row>
    <row r="913" spans="1:8" x14ac:dyDescent="0.25">
      <c r="A913" s="61"/>
      <c r="B913" s="87" t="s">
        <v>560</v>
      </c>
      <c r="C913" s="73"/>
      <c r="D913" s="73"/>
      <c r="E913" s="73"/>
      <c r="F913" s="74"/>
      <c r="G913" s="73"/>
      <c r="H913" s="73"/>
    </row>
    <row r="914" spans="1:8" x14ac:dyDescent="0.25">
      <c r="A914" s="61"/>
      <c r="B914" s="76" t="s">
        <v>266</v>
      </c>
      <c r="C914" s="66">
        <v>1</v>
      </c>
      <c r="D914" s="73"/>
      <c r="E914" s="66">
        <f t="shared" ref="E914:E920" si="336">D914-F914</f>
        <v>0</v>
      </c>
      <c r="F914" s="74"/>
      <c r="G914" s="66">
        <v>0.5</v>
      </c>
      <c r="H914" s="66">
        <v>0.5</v>
      </c>
    </row>
    <row r="915" spans="1:8" x14ac:dyDescent="0.25">
      <c r="A915" s="61"/>
      <c r="B915" s="76" t="s">
        <v>81</v>
      </c>
      <c r="C915" s="66">
        <v>1</v>
      </c>
      <c r="D915" s="73"/>
      <c r="E915" s="66">
        <f t="shared" si="336"/>
        <v>0</v>
      </c>
      <c r="F915" s="74"/>
      <c r="G915" s="66">
        <v>0.5</v>
      </c>
      <c r="H915" s="66">
        <v>0.5</v>
      </c>
    </row>
    <row r="916" spans="1:8" x14ac:dyDescent="0.25">
      <c r="A916" s="61"/>
      <c r="B916" s="76" t="s">
        <v>53</v>
      </c>
      <c r="C916" s="66">
        <v>1</v>
      </c>
      <c r="D916" s="73"/>
      <c r="E916" s="66">
        <f t="shared" si="336"/>
        <v>0</v>
      </c>
      <c r="F916" s="74"/>
      <c r="G916" s="66">
        <v>0.5</v>
      </c>
      <c r="H916" s="66">
        <v>0.5</v>
      </c>
    </row>
    <row r="917" spans="1:8" x14ac:dyDescent="0.25">
      <c r="A917" s="61"/>
      <c r="B917" s="76" t="s">
        <v>210</v>
      </c>
      <c r="C917" s="66">
        <v>5.25</v>
      </c>
      <c r="D917" s="73"/>
      <c r="E917" s="66">
        <f t="shared" si="336"/>
        <v>0</v>
      </c>
      <c r="F917" s="74"/>
      <c r="G917" s="66">
        <v>3.25</v>
      </c>
      <c r="H917" s="66">
        <v>2</v>
      </c>
    </row>
    <row r="918" spans="1:8" x14ac:dyDescent="0.25">
      <c r="A918" s="61"/>
      <c r="B918" s="76" t="s">
        <v>94</v>
      </c>
      <c r="C918" s="66">
        <v>1</v>
      </c>
      <c r="D918" s="73"/>
      <c r="E918" s="66">
        <f t="shared" si="336"/>
        <v>0</v>
      </c>
      <c r="F918" s="74"/>
      <c r="G918" s="66">
        <v>0.5</v>
      </c>
      <c r="H918" s="66">
        <v>0.5</v>
      </c>
    </row>
    <row r="919" spans="1:8" x14ac:dyDescent="0.25">
      <c r="A919" s="61"/>
      <c r="B919" s="76" t="s">
        <v>44</v>
      </c>
      <c r="C919" s="66">
        <v>1</v>
      </c>
      <c r="D919" s="73"/>
      <c r="E919" s="66">
        <f t="shared" si="336"/>
        <v>0</v>
      </c>
      <c r="F919" s="74"/>
      <c r="G919" s="66">
        <v>0.5</v>
      </c>
      <c r="H919" s="66">
        <v>0.5</v>
      </c>
    </row>
    <row r="920" spans="1:8" x14ac:dyDescent="0.25">
      <c r="A920" s="61"/>
      <c r="B920" s="76" t="s">
        <v>45</v>
      </c>
      <c r="C920" s="66">
        <v>5.25</v>
      </c>
      <c r="D920" s="73"/>
      <c r="E920" s="66">
        <f t="shared" si="336"/>
        <v>0</v>
      </c>
      <c r="F920" s="74"/>
      <c r="G920" s="66">
        <v>3.25</v>
      </c>
      <c r="H920" s="66">
        <v>2</v>
      </c>
    </row>
    <row r="921" spans="1:8" x14ac:dyDescent="0.25">
      <c r="A921" s="61"/>
      <c r="B921" s="72" t="s">
        <v>57</v>
      </c>
      <c r="C921" s="73">
        <f t="shared" ref="C921:H921" si="337">SUM(C914:C920)</f>
        <v>15.5</v>
      </c>
      <c r="D921" s="73">
        <f t="shared" si="337"/>
        <v>0</v>
      </c>
      <c r="E921" s="73">
        <f t="shared" si="337"/>
        <v>0</v>
      </c>
      <c r="F921" s="74">
        <f t="shared" si="337"/>
        <v>0</v>
      </c>
      <c r="G921" s="73">
        <f t="shared" si="337"/>
        <v>9</v>
      </c>
      <c r="H921" s="73">
        <f t="shared" si="337"/>
        <v>6.5</v>
      </c>
    </row>
    <row r="922" spans="1:8" x14ac:dyDescent="0.25">
      <c r="A922" s="61"/>
      <c r="B922" s="72"/>
      <c r="C922" s="83">
        <f t="shared" ref="C922:H922" si="338">SUM(C923:C925)</f>
        <v>15.5</v>
      </c>
      <c r="D922" s="83">
        <f t="shared" si="338"/>
        <v>0</v>
      </c>
      <c r="E922" s="83">
        <f t="shared" si="338"/>
        <v>0</v>
      </c>
      <c r="F922" s="84">
        <f t="shared" si="338"/>
        <v>0</v>
      </c>
      <c r="G922" s="83">
        <f t="shared" si="338"/>
        <v>9</v>
      </c>
      <c r="H922" s="83">
        <f t="shared" si="338"/>
        <v>6.5</v>
      </c>
    </row>
    <row r="923" spans="1:8" x14ac:dyDescent="0.25">
      <c r="A923" s="61"/>
      <c r="B923" s="82" t="s">
        <v>211</v>
      </c>
      <c r="C923" s="73">
        <f t="shared" ref="C923:H923" si="339">SUM(C914:C915)</f>
        <v>2</v>
      </c>
      <c r="D923" s="73">
        <f t="shared" si="339"/>
        <v>0</v>
      </c>
      <c r="E923" s="73">
        <f t="shared" si="339"/>
        <v>0</v>
      </c>
      <c r="F923" s="74">
        <f t="shared" si="339"/>
        <v>0</v>
      </c>
      <c r="G923" s="73">
        <f t="shared" si="339"/>
        <v>1</v>
      </c>
      <c r="H923" s="73">
        <f t="shared" si="339"/>
        <v>1</v>
      </c>
    </row>
    <row r="924" spans="1:8" x14ac:dyDescent="0.25">
      <c r="A924" s="61"/>
      <c r="B924" s="82" t="s">
        <v>583</v>
      </c>
      <c r="C924" s="73">
        <f t="shared" ref="C924:H924" si="340">SUM(C916:C918)</f>
        <v>7.25</v>
      </c>
      <c r="D924" s="73">
        <f t="shared" si="340"/>
        <v>0</v>
      </c>
      <c r="E924" s="73">
        <f t="shared" si="340"/>
        <v>0</v>
      </c>
      <c r="F924" s="74">
        <f t="shared" si="340"/>
        <v>0</v>
      </c>
      <c r="G924" s="73">
        <f t="shared" si="340"/>
        <v>4.25</v>
      </c>
      <c r="H924" s="73">
        <f t="shared" si="340"/>
        <v>3</v>
      </c>
    </row>
    <row r="925" spans="1:8" x14ac:dyDescent="0.25">
      <c r="A925" s="61"/>
      <c r="B925" s="82" t="s">
        <v>179</v>
      </c>
      <c r="C925" s="73">
        <f t="shared" ref="C925:H925" si="341">SUM(C919:C920)</f>
        <v>6.25</v>
      </c>
      <c r="D925" s="73">
        <f t="shared" si="341"/>
        <v>0</v>
      </c>
      <c r="E925" s="73">
        <f t="shared" si="341"/>
        <v>0</v>
      </c>
      <c r="F925" s="74">
        <f t="shared" si="341"/>
        <v>0</v>
      </c>
      <c r="G925" s="73">
        <f t="shared" si="341"/>
        <v>3.75</v>
      </c>
      <c r="H925" s="73">
        <f t="shared" si="341"/>
        <v>2.5</v>
      </c>
    </row>
    <row r="926" spans="1:8" x14ac:dyDescent="0.25">
      <c r="A926" s="61"/>
      <c r="B926" s="33" t="s">
        <v>601</v>
      </c>
      <c r="C926" s="68"/>
      <c r="D926" s="68"/>
      <c r="E926" s="68"/>
      <c r="F926" s="71"/>
      <c r="G926" s="60"/>
      <c r="H926" s="61"/>
    </row>
    <row r="927" spans="1:8" x14ac:dyDescent="0.25">
      <c r="A927" s="257" t="s">
        <v>602</v>
      </c>
      <c r="B927" s="60"/>
      <c r="C927" s="68"/>
      <c r="D927" s="68"/>
      <c r="E927" s="68"/>
      <c r="F927" s="71"/>
      <c r="G927" s="60"/>
      <c r="H927" s="61"/>
    </row>
    <row r="928" spans="1:8" x14ac:dyDescent="0.25">
      <c r="A928" s="61">
        <v>6</v>
      </c>
      <c r="B928" s="76" t="s">
        <v>266</v>
      </c>
      <c r="C928" s="68">
        <v>1</v>
      </c>
      <c r="D928" s="68">
        <f t="shared" ref="D928:D934" si="342">C928-G928-H928</f>
        <v>0</v>
      </c>
      <c r="E928" s="66">
        <f t="shared" ref="E928:E934" si="343">D928-F928</f>
        <v>0</v>
      </c>
      <c r="F928" s="71"/>
      <c r="G928" s="60">
        <v>0.25</v>
      </c>
      <c r="H928" s="68">
        <f>1-0.25</f>
        <v>0.75</v>
      </c>
    </row>
    <row r="929" spans="1:8" x14ac:dyDescent="0.25">
      <c r="A929" s="61">
        <v>7</v>
      </c>
      <c r="B929" s="76" t="s">
        <v>81</v>
      </c>
      <c r="C929" s="68">
        <v>2</v>
      </c>
      <c r="D929" s="68">
        <f t="shared" si="342"/>
        <v>0</v>
      </c>
      <c r="E929" s="66">
        <f t="shared" si="343"/>
        <v>0</v>
      </c>
      <c r="F929" s="71"/>
      <c r="G929" s="68">
        <f>1+0.25</f>
        <v>1.25</v>
      </c>
      <c r="H929" s="68">
        <f>1-0.25</f>
        <v>0.75</v>
      </c>
    </row>
    <row r="930" spans="1:8" x14ac:dyDescent="0.25">
      <c r="A930" s="61">
        <v>8</v>
      </c>
      <c r="B930" s="76" t="s">
        <v>53</v>
      </c>
      <c r="C930" s="68">
        <v>1</v>
      </c>
      <c r="D930" s="68">
        <f t="shared" si="342"/>
        <v>0.25</v>
      </c>
      <c r="E930" s="66">
        <f t="shared" si="343"/>
        <v>0.25</v>
      </c>
      <c r="F930" s="71"/>
      <c r="G930" s="68"/>
      <c r="H930" s="68">
        <v>0.75</v>
      </c>
    </row>
    <row r="931" spans="1:8" x14ac:dyDescent="0.25">
      <c r="A931" s="61">
        <v>9</v>
      </c>
      <c r="B931" s="76" t="s">
        <v>210</v>
      </c>
      <c r="C931" s="68">
        <v>4.75</v>
      </c>
      <c r="D931" s="68">
        <f t="shared" si="342"/>
        <v>0.5</v>
      </c>
      <c r="E931" s="66">
        <f t="shared" si="343"/>
        <v>0.5</v>
      </c>
      <c r="F931" s="71"/>
      <c r="G931" s="68">
        <v>2</v>
      </c>
      <c r="H931" s="68">
        <f>0.75+1.5</f>
        <v>2.25</v>
      </c>
    </row>
    <row r="932" spans="1:8" x14ac:dyDescent="0.25">
      <c r="A932" s="61">
        <v>10</v>
      </c>
      <c r="B932" s="76" t="s">
        <v>94</v>
      </c>
      <c r="C932" s="68">
        <v>1</v>
      </c>
      <c r="D932" s="68">
        <f t="shared" si="342"/>
        <v>0.25</v>
      </c>
      <c r="E932" s="66">
        <f t="shared" si="343"/>
        <v>0.25</v>
      </c>
      <c r="F932" s="71"/>
      <c r="G932" s="68"/>
      <c r="H932" s="68">
        <v>0.75</v>
      </c>
    </row>
    <row r="933" spans="1:8" x14ac:dyDescent="0.25">
      <c r="A933" s="61">
        <v>11</v>
      </c>
      <c r="B933" s="76" t="s">
        <v>44</v>
      </c>
      <c r="C933" s="68">
        <v>1</v>
      </c>
      <c r="D933" s="68">
        <f t="shared" si="342"/>
        <v>0.25</v>
      </c>
      <c r="E933" s="66">
        <f t="shared" si="343"/>
        <v>0.25</v>
      </c>
      <c r="F933" s="71"/>
      <c r="G933" s="68"/>
      <c r="H933" s="68">
        <v>0.75</v>
      </c>
    </row>
    <row r="934" spans="1:8" x14ac:dyDescent="0.25">
      <c r="A934" s="61">
        <v>12</v>
      </c>
      <c r="B934" s="76" t="s">
        <v>45</v>
      </c>
      <c r="C934" s="68">
        <f>7-0.5</f>
        <v>6.5</v>
      </c>
      <c r="D934" s="68">
        <f t="shared" si="342"/>
        <v>1</v>
      </c>
      <c r="E934" s="66">
        <f t="shared" si="343"/>
        <v>1</v>
      </c>
      <c r="F934" s="71"/>
      <c r="G934" s="68">
        <f>3-0.25</f>
        <v>2.75</v>
      </c>
      <c r="H934" s="68">
        <f>1.5+1.5-0.25</f>
        <v>2.75</v>
      </c>
    </row>
    <row r="935" spans="1:8" x14ac:dyDescent="0.25">
      <c r="A935" s="56"/>
      <c r="B935" s="72" t="s">
        <v>57</v>
      </c>
      <c r="C935" s="73">
        <f t="shared" ref="C935:H935" si="344">SUM(C928:C934)</f>
        <v>17.25</v>
      </c>
      <c r="D935" s="73">
        <f t="shared" si="344"/>
        <v>2.25</v>
      </c>
      <c r="E935" s="73">
        <f t="shared" si="344"/>
        <v>2.25</v>
      </c>
      <c r="F935" s="74">
        <f t="shared" si="344"/>
        <v>0</v>
      </c>
      <c r="G935" s="73">
        <f t="shared" si="344"/>
        <v>6.25</v>
      </c>
      <c r="H935" s="73">
        <f t="shared" si="344"/>
        <v>8.75</v>
      </c>
    </row>
    <row r="936" spans="1:8" x14ac:dyDescent="0.25">
      <c r="A936" s="56"/>
      <c r="B936" s="72"/>
      <c r="C936" s="83">
        <f t="shared" ref="C936:H936" si="345">SUM(C937:C939)</f>
        <v>17.25</v>
      </c>
      <c r="D936" s="83">
        <f t="shared" si="345"/>
        <v>2.25</v>
      </c>
      <c r="E936" s="83">
        <f t="shared" si="345"/>
        <v>2.25</v>
      </c>
      <c r="F936" s="84">
        <f t="shared" si="345"/>
        <v>0</v>
      </c>
      <c r="G936" s="83">
        <f t="shared" si="345"/>
        <v>6.25</v>
      </c>
      <c r="H936" s="83">
        <f t="shared" si="345"/>
        <v>8.75</v>
      </c>
    </row>
    <row r="937" spans="1:8" x14ac:dyDescent="0.25">
      <c r="A937" s="61"/>
      <c r="B937" s="82" t="s">
        <v>211</v>
      </c>
      <c r="C937" s="73">
        <f t="shared" ref="C937:H937" si="346">SUM(C928:C929)</f>
        <v>3</v>
      </c>
      <c r="D937" s="73">
        <f t="shared" si="346"/>
        <v>0</v>
      </c>
      <c r="E937" s="73">
        <f t="shared" si="346"/>
        <v>0</v>
      </c>
      <c r="F937" s="74">
        <f t="shared" si="346"/>
        <v>0</v>
      </c>
      <c r="G937" s="73">
        <f t="shared" si="346"/>
        <v>1.5</v>
      </c>
      <c r="H937" s="73">
        <f t="shared" si="346"/>
        <v>1.5</v>
      </c>
    </row>
    <row r="938" spans="1:8" x14ac:dyDescent="0.25">
      <c r="A938" s="123"/>
      <c r="B938" s="82" t="s">
        <v>583</v>
      </c>
      <c r="C938" s="73">
        <f t="shared" ref="C938:H938" si="347">SUM(C930:C932)</f>
        <v>6.75</v>
      </c>
      <c r="D938" s="73">
        <f t="shared" si="347"/>
        <v>1</v>
      </c>
      <c r="E938" s="73">
        <f t="shared" si="347"/>
        <v>1</v>
      </c>
      <c r="F938" s="74">
        <f t="shared" si="347"/>
        <v>0</v>
      </c>
      <c r="G938" s="73">
        <f t="shared" si="347"/>
        <v>2</v>
      </c>
      <c r="H938" s="73">
        <f t="shared" si="347"/>
        <v>3.75</v>
      </c>
    </row>
    <row r="939" spans="1:8" x14ac:dyDescent="0.25">
      <c r="A939" s="123"/>
      <c r="B939" s="82" t="s">
        <v>179</v>
      </c>
      <c r="C939" s="73">
        <f t="shared" ref="C939:H939" si="348">SUM(C933:C934)</f>
        <v>7.5</v>
      </c>
      <c r="D939" s="73">
        <f t="shared" si="348"/>
        <v>1.25</v>
      </c>
      <c r="E939" s="73">
        <f t="shared" si="348"/>
        <v>1.25</v>
      </c>
      <c r="F939" s="74">
        <f t="shared" si="348"/>
        <v>0</v>
      </c>
      <c r="G939" s="73">
        <f t="shared" si="348"/>
        <v>2.75</v>
      </c>
      <c r="H939" s="73">
        <f t="shared" si="348"/>
        <v>3.5</v>
      </c>
    </row>
    <row r="940" spans="1:8" x14ac:dyDescent="0.25">
      <c r="A940" s="123"/>
      <c r="B940" s="82"/>
      <c r="C940" s="73"/>
      <c r="D940" s="73"/>
      <c r="E940" s="73"/>
      <c r="F940" s="74"/>
      <c r="G940" s="73"/>
      <c r="H940" s="73"/>
    </row>
    <row r="941" spans="1:8" x14ac:dyDescent="0.25">
      <c r="A941" s="61"/>
      <c r="B941" s="33" t="s">
        <v>270</v>
      </c>
      <c r="C941" s="68"/>
      <c r="D941" s="68"/>
      <c r="E941" s="68"/>
      <c r="F941" s="71"/>
      <c r="G941" s="60"/>
      <c r="H941" s="61"/>
    </row>
    <row r="942" spans="1:8" x14ac:dyDescent="0.25">
      <c r="A942" s="61">
        <v>13</v>
      </c>
      <c r="B942" s="65" t="s">
        <v>271</v>
      </c>
      <c r="C942" s="68">
        <v>1</v>
      </c>
      <c r="D942" s="68">
        <f t="shared" ref="D942:D948" si="349">C942-G942-H942</f>
        <v>0.25</v>
      </c>
      <c r="E942" s="66">
        <f t="shared" ref="E942:E948" si="350">D942-F942</f>
        <v>0.25</v>
      </c>
      <c r="F942" s="71"/>
      <c r="G942" s="61"/>
      <c r="H942" s="68">
        <v>0.75</v>
      </c>
    </row>
    <row r="943" spans="1:8" x14ac:dyDescent="0.25">
      <c r="A943" s="61">
        <v>14</v>
      </c>
      <c r="B943" s="65" t="s">
        <v>272</v>
      </c>
      <c r="C943" s="68">
        <v>1</v>
      </c>
      <c r="D943" s="68">
        <f t="shared" si="349"/>
        <v>0</v>
      </c>
      <c r="E943" s="66">
        <f t="shared" si="350"/>
        <v>0</v>
      </c>
      <c r="F943" s="71"/>
      <c r="G943" s="68">
        <v>1</v>
      </c>
      <c r="H943" s="68"/>
    </row>
    <row r="944" spans="1:8" x14ac:dyDescent="0.25">
      <c r="A944" s="61">
        <v>15</v>
      </c>
      <c r="B944" s="65" t="s">
        <v>273</v>
      </c>
      <c r="C944" s="68">
        <v>1</v>
      </c>
      <c r="D944" s="68">
        <f t="shared" si="349"/>
        <v>0</v>
      </c>
      <c r="E944" s="66">
        <f t="shared" si="350"/>
        <v>0</v>
      </c>
      <c r="F944" s="71"/>
      <c r="G944" s="68">
        <v>0.25</v>
      </c>
      <c r="H944" s="68">
        <f>1-0.25</f>
        <v>0.75</v>
      </c>
    </row>
    <row r="945" spans="1:8" x14ac:dyDescent="0.25">
      <c r="A945" s="61">
        <v>16</v>
      </c>
      <c r="B945" s="65" t="s">
        <v>274</v>
      </c>
      <c r="C945" s="68">
        <v>1</v>
      </c>
      <c r="D945" s="68">
        <f t="shared" si="349"/>
        <v>0.25</v>
      </c>
      <c r="E945" s="66">
        <f t="shared" si="350"/>
        <v>0</v>
      </c>
      <c r="F945" s="71">
        <v>0.25</v>
      </c>
      <c r="G945" s="68"/>
      <c r="H945" s="68">
        <v>0.75</v>
      </c>
    </row>
    <row r="946" spans="1:8" x14ac:dyDescent="0.25">
      <c r="A946" s="61">
        <v>17</v>
      </c>
      <c r="B946" s="65" t="s">
        <v>275</v>
      </c>
      <c r="C946" s="68">
        <f>3+1</f>
        <v>4</v>
      </c>
      <c r="D946" s="68">
        <f t="shared" si="349"/>
        <v>0.5</v>
      </c>
      <c r="E946" s="66">
        <f t="shared" si="350"/>
        <v>0</v>
      </c>
      <c r="F946" s="71">
        <v>0.5</v>
      </c>
      <c r="G946" s="68">
        <f>1+0.25</f>
        <v>1.25</v>
      </c>
      <c r="H946" s="68">
        <f>1+1.5-0.25</f>
        <v>2.25</v>
      </c>
    </row>
    <row r="947" spans="1:8" x14ac:dyDescent="0.25">
      <c r="A947" s="61">
        <v>18</v>
      </c>
      <c r="B947" s="76" t="s">
        <v>44</v>
      </c>
      <c r="C947" s="68">
        <v>1</v>
      </c>
      <c r="D947" s="68">
        <f t="shared" si="349"/>
        <v>0.75</v>
      </c>
      <c r="E947" s="66">
        <f t="shared" si="350"/>
        <v>0</v>
      </c>
      <c r="F947" s="71">
        <v>0.75</v>
      </c>
      <c r="G947" s="61">
        <v>0.25</v>
      </c>
      <c r="H947" s="68"/>
    </row>
    <row r="948" spans="1:8" x14ac:dyDescent="0.25">
      <c r="A948" s="56">
        <v>19</v>
      </c>
      <c r="B948" s="65" t="s">
        <v>45</v>
      </c>
      <c r="C948" s="68">
        <v>2</v>
      </c>
      <c r="D948" s="68">
        <f t="shared" si="349"/>
        <v>0</v>
      </c>
      <c r="E948" s="66">
        <f t="shared" si="350"/>
        <v>0</v>
      </c>
      <c r="F948" s="71"/>
      <c r="G948" s="68">
        <v>1.5</v>
      </c>
      <c r="H948" s="68">
        <v>0.5</v>
      </c>
    </row>
    <row r="949" spans="1:8" x14ac:dyDescent="0.25">
      <c r="A949" s="56"/>
      <c r="B949" s="72" t="s">
        <v>276</v>
      </c>
      <c r="C949" s="73">
        <f t="shared" ref="C949:H949" si="351">SUM(C942:C948)</f>
        <v>11</v>
      </c>
      <c r="D949" s="73">
        <f t="shared" si="351"/>
        <v>1.75</v>
      </c>
      <c r="E949" s="73">
        <f t="shared" si="351"/>
        <v>0.25</v>
      </c>
      <c r="F949" s="74">
        <f t="shared" si="351"/>
        <v>1.5</v>
      </c>
      <c r="G949" s="73">
        <f t="shared" si="351"/>
        <v>4.25</v>
      </c>
      <c r="H949" s="73">
        <f t="shared" si="351"/>
        <v>5</v>
      </c>
    </row>
    <row r="950" spans="1:8" x14ac:dyDescent="0.25">
      <c r="A950" s="56"/>
      <c r="B950" s="72"/>
      <c r="C950" s="83">
        <f t="shared" ref="C950:H950" si="352">SUM(C951:C953)</f>
        <v>11</v>
      </c>
      <c r="D950" s="83">
        <f t="shared" si="352"/>
        <v>1.75</v>
      </c>
      <c r="E950" s="83">
        <f t="shared" si="352"/>
        <v>0.25</v>
      </c>
      <c r="F950" s="84">
        <f t="shared" si="352"/>
        <v>1.5</v>
      </c>
      <c r="G950" s="83">
        <f t="shared" si="352"/>
        <v>4.25</v>
      </c>
      <c r="H950" s="83">
        <f t="shared" si="352"/>
        <v>5</v>
      </c>
    </row>
    <row r="951" spans="1:8" x14ac:dyDescent="0.25">
      <c r="A951" s="56"/>
      <c r="B951" s="82" t="s">
        <v>277</v>
      </c>
      <c r="C951" s="73">
        <f t="shared" ref="C951:H951" si="353">SUM(C942:C944)</f>
        <v>3</v>
      </c>
      <c r="D951" s="73">
        <f t="shared" si="353"/>
        <v>0.25</v>
      </c>
      <c r="E951" s="73">
        <f t="shared" si="353"/>
        <v>0.25</v>
      </c>
      <c r="F951" s="74">
        <f t="shared" si="353"/>
        <v>0</v>
      </c>
      <c r="G951" s="73">
        <f t="shared" si="353"/>
        <v>1.25</v>
      </c>
      <c r="H951" s="73">
        <f t="shared" si="353"/>
        <v>1.5</v>
      </c>
    </row>
    <row r="952" spans="1:8" x14ac:dyDescent="0.25">
      <c r="A952" s="56"/>
      <c r="B952" s="82" t="s">
        <v>29</v>
      </c>
      <c r="C952" s="73">
        <f t="shared" ref="C952:H952" si="354">SUM(C945:C946)</f>
        <v>5</v>
      </c>
      <c r="D952" s="73">
        <f t="shared" si="354"/>
        <v>0.75</v>
      </c>
      <c r="E952" s="73">
        <f t="shared" si="354"/>
        <v>0</v>
      </c>
      <c r="F952" s="74">
        <f t="shared" si="354"/>
        <v>0.75</v>
      </c>
      <c r="G952" s="73">
        <f t="shared" si="354"/>
        <v>1.25</v>
      </c>
      <c r="H952" s="73">
        <f t="shared" si="354"/>
        <v>3</v>
      </c>
    </row>
    <row r="953" spans="1:8" x14ac:dyDescent="0.25">
      <c r="A953" s="56"/>
      <c r="B953" s="82" t="s">
        <v>262</v>
      </c>
      <c r="C953" s="73">
        <f t="shared" ref="C953:H953" si="355">SUM(C947:C948)</f>
        <v>3</v>
      </c>
      <c r="D953" s="73">
        <f t="shared" si="355"/>
        <v>0.75</v>
      </c>
      <c r="E953" s="73">
        <f t="shared" si="355"/>
        <v>0</v>
      </c>
      <c r="F953" s="74">
        <f t="shared" si="355"/>
        <v>0.75</v>
      </c>
      <c r="G953" s="73">
        <f t="shared" si="355"/>
        <v>1.75</v>
      </c>
      <c r="H953" s="73">
        <f t="shared" si="355"/>
        <v>0.5</v>
      </c>
    </row>
    <row r="954" spans="1:8" x14ac:dyDescent="0.25">
      <c r="A954" s="56"/>
      <c r="B954" s="82"/>
      <c r="C954" s="73"/>
      <c r="D954" s="73"/>
      <c r="E954" s="73"/>
      <c r="F954" s="74"/>
      <c r="G954" s="60"/>
      <c r="H954" s="61"/>
    </row>
    <row r="955" spans="1:8" x14ac:dyDescent="0.25">
      <c r="A955" s="56"/>
      <c r="B955" s="166" t="s">
        <v>278</v>
      </c>
      <c r="C955" s="68"/>
      <c r="D955" s="68"/>
      <c r="E955" s="68"/>
      <c r="F955" s="71"/>
      <c r="G955" s="60"/>
      <c r="H955" s="61"/>
    </row>
    <row r="956" spans="1:8" ht="26.25" x14ac:dyDescent="0.25">
      <c r="A956" s="61">
        <v>20</v>
      </c>
      <c r="B956" s="70" t="s">
        <v>279</v>
      </c>
      <c r="C956" s="68">
        <v>1</v>
      </c>
      <c r="D956" s="68">
        <f t="shared" ref="D956:D961" si="356">C956-G956-H956</f>
        <v>0.25</v>
      </c>
      <c r="E956" s="66">
        <f t="shared" ref="E956:E961" si="357">D956-F956</f>
        <v>0</v>
      </c>
      <c r="F956" s="71">
        <v>0.25</v>
      </c>
      <c r="G956" s="60"/>
      <c r="H956" s="68">
        <v>0.75</v>
      </c>
    </row>
    <row r="957" spans="1:8" x14ac:dyDescent="0.25">
      <c r="A957" s="56">
        <v>21</v>
      </c>
      <c r="B957" s="65" t="s">
        <v>281</v>
      </c>
      <c r="C957" s="68">
        <v>0.5</v>
      </c>
      <c r="D957" s="68">
        <f t="shared" si="356"/>
        <v>0</v>
      </c>
      <c r="E957" s="66">
        <f t="shared" si="357"/>
        <v>0</v>
      </c>
      <c r="F957" s="71"/>
      <c r="G957" s="60">
        <v>0.5</v>
      </c>
      <c r="H957" s="68"/>
    </row>
    <row r="958" spans="1:8" x14ac:dyDescent="0.25">
      <c r="A958" s="56">
        <v>22</v>
      </c>
      <c r="B958" s="65" t="s">
        <v>280</v>
      </c>
      <c r="C958" s="68">
        <v>1</v>
      </c>
      <c r="D958" s="68">
        <f t="shared" si="356"/>
        <v>0.25</v>
      </c>
      <c r="E958" s="66">
        <f t="shared" si="357"/>
        <v>0</v>
      </c>
      <c r="F958" s="71">
        <v>0.25</v>
      </c>
      <c r="G958" s="60">
        <v>0.75</v>
      </c>
      <c r="H958" s="68"/>
    </row>
    <row r="959" spans="1:8" x14ac:dyDescent="0.25">
      <c r="A959" s="61">
        <v>23</v>
      </c>
      <c r="B959" s="65" t="s">
        <v>282</v>
      </c>
      <c r="C959" s="68">
        <f>4-1</f>
        <v>3</v>
      </c>
      <c r="D959" s="68">
        <f t="shared" si="356"/>
        <v>0.5</v>
      </c>
      <c r="E959" s="66">
        <f t="shared" si="357"/>
        <v>0.5</v>
      </c>
      <c r="F959" s="71"/>
      <c r="G959" s="60">
        <f>1.25-1</f>
        <v>0.25</v>
      </c>
      <c r="H959" s="68">
        <f>0.75+0.75+0.75</f>
        <v>2.25</v>
      </c>
    </row>
    <row r="960" spans="1:8" x14ac:dyDescent="0.25">
      <c r="A960" s="61">
        <v>24</v>
      </c>
      <c r="B960" s="65" t="s">
        <v>283</v>
      </c>
      <c r="C960" s="68">
        <f>5-1</f>
        <v>4</v>
      </c>
      <c r="D960" s="68">
        <f t="shared" si="356"/>
        <v>0.75</v>
      </c>
      <c r="E960" s="66">
        <f t="shared" si="357"/>
        <v>0</v>
      </c>
      <c r="F960" s="71">
        <f>0.25+0.25+0.25</f>
        <v>0.75</v>
      </c>
      <c r="G960" s="60">
        <f>1.5-1</f>
        <v>0.5</v>
      </c>
      <c r="H960" s="68">
        <f>0.5+2.25</f>
        <v>2.75</v>
      </c>
    </row>
    <row r="961" spans="1:9" x14ac:dyDescent="0.25">
      <c r="A961" s="47">
        <v>25</v>
      </c>
      <c r="B961" s="65" t="s">
        <v>45</v>
      </c>
      <c r="C961" s="68">
        <v>1</v>
      </c>
      <c r="D961" s="68">
        <f t="shared" si="356"/>
        <v>0.75</v>
      </c>
      <c r="E961" s="66">
        <f t="shared" si="357"/>
        <v>0</v>
      </c>
      <c r="F961" s="71">
        <v>0.75</v>
      </c>
      <c r="G961" s="60">
        <v>0.25</v>
      </c>
      <c r="H961" s="68"/>
    </row>
    <row r="962" spans="1:9" x14ac:dyDescent="0.25">
      <c r="A962" s="61"/>
      <c r="B962" s="274" t="s">
        <v>284</v>
      </c>
      <c r="C962" s="73">
        <f t="shared" ref="C962:H962" si="358">SUM(C956:C961)</f>
        <v>10.5</v>
      </c>
      <c r="D962" s="73">
        <f t="shared" si="358"/>
        <v>2.5</v>
      </c>
      <c r="E962" s="73">
        <f t="shared" si="358"/>
        <v>0.5</v>
      </c>
      <c r="F962" s="74">
        <f t="shared" si="358"/>
        <v>2</v>
      </c>
      <c r="G962" s="73">
        <f t="shared" si="358"/>
        <v>2.25</v>
      </c>
      <c r="H962" s="73">
        <f t="shared" si="358"/>
        <v>5.75</v>
      </c>
    </row>
    <row r="963" spans="1:9" x14ac:dyDescent="0.25">
      <c r="A963" s="123"/>
      <c r="B963" s="275" t="s">
        <v>285</v>
      </c>
      <c r="C963" s="276">
        <f>C962+C949+C935+C921</f>
        <v>54.25</v>
      </c>
      <c r="D963" s="276">
        <f t="shared" ref="D963:H963" si="359">D962+D949+D935+D921</f>
        <v>6.5</v>
      </c>
      <c r="E963" s="276">
        <f t="shared" si="359"/>
        <v>3</v>
      </c>
      <c r="F963" s="276">
        <f t="shared" si="359"/>
        <v>3.5</v>
      </c>
      <c r="G963" s="276">
        <f t="shared" si="359"/>
        <v>21.75</v>
      </c>
      <c r="H963" s="276">
        <f t="shared" si="359"/>
        <v>26</v>
      </c>
      <c r="I963" s="3">
        <f>SUM(E963:H963)</f>
        <v>54.25</v>
      </c>
    </row>
    <row r="964" spans="1:9" x14ac:dyDescent="0.25">
      <c r="A964" s="123"/>
      <c r="B964" s="277"/>
      <c r="C964" s="278">
        <f t="shared" ref="C964" si="360">SUM(C965:C968)</f>
        <v>54.25</v>
      </c>
      <c r="D964" s="278">
        <f t="shared" ref="D964" si="361">SUM(D965:D968)</f>
        <v>6.5</v>
      </c>
      <c r="E964" s="278">
        <f t="shared" ref="E964" si="362">SUM(E965:E968)</f>
        <v>3</v>
      </c>
      <c r="F964" s="278">
        <f t="shared" ref="F964" si="363">SUM(F965:F968)</f>
        <v>3.5</v>
      </c>
      <c r="G964" s="278">
        <f t="shared" ref="G964" si="364">SUM(G965:G968)</f>
        <v>21.75</v>
      </c>
      <c r="H964" s="278">
        <f t="shared" ref="H964" si="365">SUM(H965:H968)</f>
        <v>26</v>
      </c>
    </row>
    <row r="965" spans="1:9" x14ac:dyDescent="0.25">
      <c r="A965" s="123"/>
      <c r="B965" s="279" t="s">
        <v>277</v>
      </c>
      <c r="C965" s="276">
        <f>C957+C956+C951+C937+C958+C923</f>
        <v>10.5</v>
      </c>
      <c r="D965" s="276">
        <f t="shared" ref="D965:H965" si="366">D957+D956+D951+D937+D958+D923</f>
        <v>0.75</v>
      </c>
      <c r="E965" s="276">
        <f t="shared" si="366"/>
        <v>0.25</v>
      </c>
      <c r="F965" s="276">
        <f t="shared" si="366"/>
        <v>0.5</v>
      </c>
      <c r="G965" s="276">
        <f t="shared" si="366"/>
        <v>5</v>
      </c>
      <c r="H965" s="276">
        <f t="shared" si="366"/>
        <v>4.75</v>
      </c>
    </row>
    <row r="966" spans="1:9" x14ac:dyDescent="0.25">
      <c r="A966" s="123"/>
      <c r="B966" s="279" t="s">
        <v>29</v>
      </c>
      <c r="C966" s="276">
        <f t="shared" ref="C966" si="367">C960+C959+C952+C938+C924</f>
        <v>26</v>
      </c>
      <c r="D966" s="276">
        <f t="shared" ref="D966:H966" si="368">D960+D959+D952+D938+D924</f>
        <v>3</v>
      </c>
      <c r="E966" s="276">
        <f t="shared" si="368"/>
        <v>1.5</v>
      </c>
      <c r="F966" s="276">
        <f t="shared" si="368"/>
        <v>1.5</v>
      </c>
      <c r="G966" s="276">
        <f t="shared" si="368"/>
        <v>8.25</v>
      </c>
      <c r="H966" s="276">
        <f t="shared" si="368"/>
        <v>14.75</v>
      </c>
    </row>
    <row r="967" spans="1:9" x14ac:dyDescent="0.25">
      <c r="A967" s="123"/>
      <c r="B967" s="279" t="s">
        <v>262</v>
      </c>
      <c r="C967" s="276">
        <f t="shared" ref="C967" si="369">C961+C953+C939+C925</f>
        <v>17.75</v>
      </c>
      <c r="D967" s="276">
        <f t="shared" ref="D967:H967" si="370">D961+D953+D939+D925</f>
        <v>2.75</v>
      </c>
      <c r="E967" s="276">
        <f t="shared" si="370"/>
        <v>1.25</v>
      </c>
      <c r="F967" s="276">
        <f t="shared" si="370"/>
        <v>1.5</v>
      </c>
      <c r="G967" s="276">
        <f t="shared" si="370"/>
        <v>8.5</v>
      </c>
      <c r="H967" s="276">
        <f t="shared" si="370"/>
        <v>6.5</v>
      </c>
    </row>
    <row r="968" spans="1:9" x14ac:dyDescent="0.25">
      <c r="A968" s="123"/>
      <c r="B968" s="279" t="s">
        <v>30</v>
      </c>
      <c r="C968" s="276"/>
      <c r="D968" s="276"/>
      <c r="E968" s="276"/>
      <c r="F968" s="276"/>
      <c r="G968" s="276"/>
      <c r="H968" s="276"/>
    </row>
    <row r="969" spans="1:9" x14ac:dyDescent="0.25">
      <c r="A969" s="56"/>
      <c r="B969" s="33" t="s">
        <v>286</v>
      </c>
      <c r="C969" s="73"/>
      <c r="D969" s="73"/>
      <c r="E969" s="73"/>
      <c r="F969" s="74"/>
      <c r="G969" s="60"/>
      <c r="H969" s="61"/>
    </row>
    <row r="970" spans="1:9" x14ac:dyDescent="0.25">
      <c r="A970" s="257" t="s">
        <v>603</v>
      </c>
      <c r="B970" s="60"/>
      <c r="C970" s="73"/>
      <c r="D970" s="73"/>
      <c r="E970" s="73"/>
      <c r="F970" s="74"/>
      <c r="G970" s="60"/>
      <c r="H970" s="61"/>
    </row>
    <row r="971" spans="1:9" x14ac:dyDescent="0.25">
      <c r="A971" s="56">
        <v>1</v>
      </c>
      <c r="B971" s="76" t="s">
        <v>287</v>
      </c>
      <c r="C971" s="66">
        <v>1</v>
      </c>
      <c r="D971" s="66">
        <f>C971-G971-H971</f>
        <v>0</v>
      </c>
      <c r="E971" s="66">
        <f>D971-F971</f>
        <v>0</v>
      </c>
      <c r="F971" s="67"/>
      <c r="G971" s="66">
        <v>1</v>
      </c>
      <c r="H971" s="68"/>
      <c r="I971" s="3">
        <f t="shared" ref="I971:I983" si="371">SUM(D971:H971)</f>
        <v>1</v>
      </c>
    </row>
    <row r="972" spans="1:9" x14ac:dyDescent="0.25">
      <c r="A972" s="56">
        <v>2</v>
      </c>
      <c r="B972" s="76" t="s">
        <v>288</v>
      </c>
      <c r="C972" s="66">
        <f>2.25+0.25</f>
        <v>2.5</v>
      </c>
      <c r="D972" s="66">
        <f>C972-G972-H972</f>
        <v>0</v>
      </c>
      <c r="E972" s="66">
        <f>D972-F972</f>
        <v>0</v>
      </c>
      <c r="F972" s="67"/>
      <c r="G972" s="66">
        <f>2.25+0.25</f>
        <v>2.5</v>
      </c>
      <c r="H972" s="68"/>
      <c r="I972" s="3">
        <f t="shared" si="371"/>
        <v>2.5</v>
      </c>
    </row>
    <row r="973" spans="1:9" x14ac:dyDescent="0.25">
      <c r="A973" s="56"/>
      <c r="B973" s="161" t="s">
        <v>289</v>
      </c>
      <c r="C973" s="217">
        <f t="shared" ref="C973:H973" si="372">SUM(C971:C972)</f>
        <v>3.5</v>
      </c>
      <c r="D973" s="217">
        <f t="shared" si="372"/>
        <v>0</v>
      </c>
      <c r="E973" s="217">
        <f t="shared" si="372"/>
        <v>0</v>
      </c>
      <c r="F973" s="218">
        <f t="shared" si="372"/>
        <v>0</v>
      </c>
      <c r="G973" s="217">
        <f t="shared" si="372"/>
        <v>3.5</v>
      </c>
      <c r="H973" s="217">
        <f t="shared" si="372"/>
        <v>0</v>
      </c>
      <c r="I973" s="3">
        <f t="shared" si="371"/>
        <v>3.5</v>
      </c>
    </row>
    <row r="974" spans="1:9" x14ac:dyDescent="0.25">
      <c r="A974" s="56">
        <v>3</v>
      </c>
      <c r="B974" s="76" t="s">
        <v>53</v>
      </c>
      <c r="C974" s="66">
        <v>1</v>
      </c>
      <c r="D974" s="66">
        <f>C974-G974-H974</f>
        <v>0</v>
      </c>
      <c r="E974" s="66">
        <f>D974-F974</f>
        <v>0</v>
      </c>
      <c r="F974" s="67"/>
      <c r="G974" s="66">
        <v>1</v>
      </c>
      <c r="H974" s="68"/>
      <c r="I974" s="3">
        <f t="shared" si="371"/>
        <v>1</v>
      </c>
    </row>
    <row r="975" spans="1:9" ht="26.25" x14ac:dyDescent="0.25">
      <c r="A975" s="56">
        <v>4</v>
      </c>
      <c r="B975" s="88" t="s">
        <v>215</v>
      </c>
      <c r="C975" s="66">
        <v>5.25</v>
      </c>
      <c r="D975" s="66">
        <f>C975-G975-H975</f>
        <v>0</v>
      </c>
      <c r="E975" s="66">
        <f>D975-F975</f>
        <v>0</v>
      </c>
      <c r="F975" s="67"/>
      <c r="G975" s="66">
        <v>5.25</v>
      </c>
      <c r="H975" s="68"/>
      <c r="I975" s="3">
        <f t="shared" si="371"/>
        <v>5.25</v>
      </c>
    </row>
    <row r="976" spans="1:9" x14ac:dyDescent="0.25">
      <c r="A976" s="61"/>
      <c r="B976" s="161" t="s">
        <v>290</v>
      </c>
      <c r="C976" s="217">
        <f t="shared" ref="C976:H976" si="373">SUM(C974:C975)</f>
        <v>6.25</v>
      </c>
      <c r="D976" s="217">
        <f t="shared" si="373"/>
        <v>0</v>
      </c>
      <c r="E976" s="217">
        <f t="shared" si="373"/>
        <v>0</v>
      </c>
      <c r="F976" s="218">
        <f t="shared" si="373"/>
        <v>0</v>
      </c>
      <c r="G976" s="217">
        <f t="shared" si="373"/>
        <v>6.25</v>
      </c>
      <c r="H976" s="217">
        <f t="shared" si="373"/>
        <v>0</v>
      </c>
      <c r="I976" s="3">
        <f t="shared" si="371"/>
        <v>6.25</v>
      </c>
    </row>
    <row r="977" spans="1:9" x14ac:dyDescent="0.25">
      <c r="A977" s="56">
        <v>5</v>
      </c>
      <c r="B977" s="76" t="s">
        <v>44</v>
      </c>
      <c r="C977" s="66">
        <v>1</v>
      </c>
      <c r="D977" s="66">
        <f>C977-G977-H977</f>
        <v>0</v>
      </c>
      <c r="E977" s="66">
        <f>D977-F977</f>
        <v>0</v>
      </c>
      <c r="F977" s="67"/>
      <c r="G977" s="66">
        <v>1</v>
      </c>
      <c r="H977" s="68"/>
      <c r="I977" s="3">
        <f t="shared" si="371"/>
        <v>1</v>
      </c>
    </row>
    <row r="978" spans="1:9" x14ac:dyDescent="0.25">
      <c r="A978" s="61"/>
      <c r="B978" s="161" t="s">
        <v>291</v>
      </c>
      <c r="C978" s="217">
        <f t="shared" ref="C978:H978" si="374">SUM(C977:C977)</f>
        <v>1</v>
      </c>
      <c r="D978" s="217">
        <f t="shared" si="374"/>
        <v>0</v>
      </c>
      <c r="E978" s="217">
        <f t="shared" si="374"/>
        <v>0</v>
      </c>
      <c r="F978" s="218">
        <f t="shared" si="374"/>
        <v>0</v>
      </c>
      <c r="G978" s="217">
        <f t="shared" si="374"/>
        <v>1</v>
      </c>
      <c r="H978" s="217">
        <f t="shared" si="374"/>
        <v>0</v>
      </c>
      <c r="I978" s="3">
        <f t="shared" si="371"/>
        <v>1</v>
      </c>
    </row>
    <row r="979" spans="1:9" x14ac:dyDescent="0.25">
      <c r="A979" s="123"/>
      <c r="B979" s="72" t="s">
        <v>604</v>
      </c>
      <c r="C979" s="73">
        <f t="shared" ref="C979:H979" si="375">C973+C976+C978</f>
        <v>10.75</v>
      </c>
      <c r="D979" s="73">
        <f t="shared" si="375"/>
        <v>0</v>
      </c>
      <c r="E979" s="73">
        <f t="shared" si="375"/>
        <v>0</v>
      </c>
      <c r="F979" s="74">
        <f t="shared" si="375"/>
        <v>0</v>
      </c>
      <c r="G979" s="73">
        <f t="shared" si="375"/>
        <v>10.75</v>
      </c>
      <c r="H979" s="73">
        <f t="shared" si="375"/>
        <v>0</v>
      </c>
      <c r="I979" s="3">
        <f t="shared" si="371"/>
        <v>10.75</v>
      </c>
    </row>
    <row r="980" spans="1:9" x14ac:dyDescent="0.25">
      <c r="A980" s="123"/>
      <c r="B980" s="72"/>
      <c r="C980" s="83">
        <f t="shared" ref="C980:H980" si="376">SUM(C981:C983)</f>
        <v>10.75</v>
      </c>
      <c r="D980" s="83">
        <f t="shared" si="376"/>
        <v>0</v>
      </c>
      <c r="E980" s="83">
        <f t="shared" si="376"/>
        <v>0</v>
      </c>
      <c r="F980" s="84">
        <f t="shared" si="376"/>
        <v>0</v>
      </c>
      <c r="G980" s="83">
        <f t="shared" si="376"/>
        <v>10.75</v>
      </c>
      <c r="H980" s="83">
        <f t="shared" si="376"/>
        <v>0</v>
      </c>
      <c r="I980" s="17">
        <f t="shared" si="371"/>
        <v>10.75</v>
      </c>
    </row>
    <row r="981" spans="1:9" x14ac:dyDescent="0.25">
      <c r="A981" s="61"/>
      <c r="B981" s="82" t="s">
        <v>605</v>
      </c>
      <c r="C981" s="73">
        <f t="shared" ref="C981:H981" si="377">C973</f>
        <v>3.5</v>
      </c>
      <c r="D981" s="73">
        <f t="shared" si="377"/>
        <v>0</v>
      </c>
      <c r="E981" s="73">
        <f t="shared" si="377"/>
        <v>0</v>
      </c>
      <c r="F981" s="74">
        <f t="shared" si="377"/>
        <v>0</v>
      </c>
      <c r="G981" s="73">
        <f t="shared" si="377"/>
        <v>3.5</v>
      </c>
      <c r="H981" s="73">
        <f t="shared" si="377"/>
        <v>0</v>
      </c>
      <c r="I981" s="3">
        <f t="shared" si="371"/>
        <v>3.5</v>
      </c>
    </row>
    <row r="982" spans="1:9" x14ac:dyDescent="0.25">
      <c r="A982" s="61"/>
      <c r="B982" s="82" t="s">
        <v>583</v>
      </c>
      <c r="C982" s="73">
        <f t="shared" ref="C982:H982" si="378">C976</f>
        <v>6.25</v>
      </c>
      <c r="D982" s="73">
        <f t="shared" si="378"/>
        <v>0</v>
      </c>
      <c r="E982" s="73">
        <f t="shared" si="378"/>
        <v>0</v>
      </c>
      <c r="F982" s="74">
        <f t="shared" si="378"/>
        <v>0</v>
      </c>
      <c r="G982" s="73">
        <f t="shared" si="378"/>
        <v>6.25</v>
      </c>
      <c r="H982" s="73">
        <f t="shared" si="378"/>
        <v>0</v>
      </c>
      <c r="I982" s="3">
        <f t="shared" si="371"/>
        <v>6.25</v>
      </c>
    </row>
    <row r="983" spans="1:9" x14ac:dyDescent="0.25">
      <c r="A983" s="61"/>
      <c r="B983" s="82" t="s">
        <v>179</v>
      </c>
      <c r="C983" s="73">
        <f t="shared" ref="C983:H983" si="379">C978</f>
        <v>1</v>
      </c>
      <c r="D983" s="73">
        <f t="shared" si="379"/>
        <v>0</v>
      </c>
      <c r="E983" s="73">
        <f t="shared" si="379"/>
        <v>0</v>
      </c>
      <c r="F983" s="74">
        <f t="shared" si="379"/>
        <v>0</v>
      </c>
      <c r="G983" s="73">
        <f t="shared" si="379"/>
        <v>1</v>
      </c>
      <c r="H983" s="73">
        <f t="shared" si="379"/>
        <v>0</v>
      </c>
      <c r="I983" s="3">
        <f t="shared" si="371"/>
        <v>1</v>
      </c>
    </row>
    <row r="984" spans="1:9" x14ac:dyDescent="0.25">
      <c r="A984" s="61"/>
      <c r="B984" s="82"/>
      <c r="C984" s="73"/>
      <c r="D984" s="73"/>
      <c r="E984" s="73"/>
      <c r="F984" s="74"/>
      <c r="G984" s="73"/>
      <c r="H984" s="73"/>
      <c r="I984" s="3"/>
    </row>
    <row r="985" spans="1:9" x14ac:dyDescent="0.25">
      <c r="A985" s="61"/>
      <c r="B985" s="82"/>
      <c r="C985" s="73"/>
      <c r="D985" s="73"/>
      <c r="E985" s="73"/>
      <c r="F985" s="74"/>
      <c r="G985" s="73"/>
      <c r="H985" s="73"/>
      <c r="I985" s="3"/>
    </row>
    <row r="986" spans="1:9" x14ac:dyDescent="0.25">
      <c r="A986" s="123"/>
      <c r="B986" s="79" t="s">
        <v>292</v>
      </c>
      <c r="C986" s="73"/>
      <c r="D986" s="73"/>
      <c r="E986" s="73"/>
      <c r="F986" s="74"/>
      <c r="G986" s="60"/>
      <c r="H986" s="61"/>
    </row>
    <row r="987" spans="1:9" ht="26.25" x14ac:dyDescent="0.25">
      <c r="A987" s="61" t="s">
        <v>61</v>
      </c>
      <c r="B987" s="88" t="s">
        <v>293</v>
      </c>
      <c r="C987" s="66">
        <v>1</v>
      </c>
      <c r="D987" s="66">
        <f t="shared" ref="D987:D992" si="380">C987-G987-H987</f>
        <v>0.25</v>
      </c>
      <c r="E987" s="66">
        <f t="shared" ref="E987:E992" si="381">D987-F987</f>
        <v>0</v>
      </c>
      <c r="F987" s="67">
        <v>0.25</v>
      </c>
      <c r="G987" s="60"/>
      <c r="H987" s="68">
        <v>0.75</v>
      </c>
    </row>
    <row r="988" spans="1:9" x14ac:dyDescent="0.25">
      <c r="A988" s="61" t="s">
        <v>63</v>
      </c>
      <c r="B988" s="76" t="s">
        <v>294</v>
      </c>
      <c r="C988" s="66">
        <v>6.25</v>
      </c>
      <c r="D988" s="66">
        <f t="shared" si="380"/>
        <v>1.5</v>
      </c>
      <c r="E988" s="66">
        <f t="shared" si="381"/>
        <v>0</v>
      </c>
      <c r="F988" s="67">
        <f>0.5+0.25+0.25+0.25+0.25</f>
        <v>1.5</v>
      </c>
      <c r="G988" s="68">
        <v>1.75</v>
      </c>
      <c r="H988" s="68">
        <v>3</v>
      </c>
    </row>
    <row r="989" spans="1:9" x14ac:dyDescent="0.25">
      <c r="A989" s="61">
        <v>3</v>
      </c>
      <c r="B989" s="76" t="s">
        <v>53</v>
      </c>
      <c r="C989" s="66">
        <v>1</v>
      </c>
      <c r="D989" s="66">
        <f t="shared" si="380"/>
        <v>0.25</v>
      </c>
      <c r="E989" s="66">
        <f t="shared" si="381"/>
        <v>0</v>
      </c>
      <c r="F989" s="67">
        <v>0.25</v>
      </c>
      <c r="G989" s="68"/>
      <c r="H989" s="68">
        <v>0.75</v>
      </c>
    </row>
    <row r="990" spans="1:9" x14ac:dyDescent="0.25">
      <c r="A990" s="61">
        <v>4</v>
      </c>
      <c r="B990" s="76" t="s">
        <v>234</v>
      </c>
      <c r="C990" s="66">
        <f>6.75-1-2.5+1.25+0.5-1-0.5+2.5+2.5+1.25+1.25+1</f>
        <v>12</v>
      </c>
      <c r="D990" s="66">
        <f t="shared" si="380"/>
        <v>1.5</v>
      </c>
      <c r="E990" s="66">
        <f t="shared" si="381"/>
        <v>0</v>
      </c>
      <c r="F990" s="67">
        <f>0.25+0.25+0.25+0.25+0.25+0.25</f>
        <v>1.5</v>
      </c>
      <c r="G990" s="68">
        <f>1-0.5+0.5+0.75+0.75+0.5+0.25</f>
        <v>3.25</v>
      </c>
      <c r="H990" s="68">
        <f>2.25+1.5+1.75+0.5+0.75-0.25+0.75</f>
        <v>7.25</v>
      </c>
    </row>
    <row r="991" spans="1:9" x14ac:dyDescent="0.25">
      <c r="A991" s="61">
        <v>5</v>
      </c>
      <c r="B991" s="76" t="s">
        <v>44</v>
      </c>
      <c r="C991" s="66">
        <v>1</v>
      </c>
      <c r="D991" s="66">
        <f t="shared" si="380"/>
        <v>0.25</v>
      </c>
      <c r="E991" s="66">
        <f t="shared" si="381"/>
        <v>0</v>
      </c>
      <c r="F991" s="67">
        <v>0.25</v>
      </c>
      <c r="G991" s="68"/>
      <c r="H991" s="68">
        <v>0.75</v>
      </c>
    </row>
    <row r="992" spans="1:9" x14ac:dyDescent="0.25">
      <c r="A992" s="61">
        <v>6</v>
      </c>
      <c r="B992" s="76" t="s">
        <v>45</v>
      </c>
      <c r="C992" s="66">
        <v>4.75</v>
      </c>
      <c r="D992" s="66">
        <f t="shared" si="380"/>
        <v>0.75</v>
      </c>
      <c r="E992" s="66">
        <f t="shared" si="381"/>
        <v>0</v>
      </c>
      <c r="F992" s="67">
        <f>0.25+0.25+0.25</f>
        <v>0.75</v>
      </c>
      <c r="G992" s="68">
        <v>1.75</v>
      </c>
      <c r="H992" s="68">
        <v>2.25</v>
      </c>
    </row>
    <row r="993" spans="1:8" x14ac:dyDescent="0.25">
      <c r="A993" s="56"/>
      <c r="B993" s="174" t="s">
        <v>54</v>
      </c>
      <c r="C993" s="128">
        <f t="shared" ref="C993:H993" si="382">SUM(C987:C992)</f>
        <v>26</v>
      </c>
      <c r="D993" s="128">
        <f t="shared" si="382"/>
        <v>4.5</v>
      </c>
      <c r="E993" s="128">
        <f t="shared" si="382"/>
        <v>0</v>
      </c>
      <c r="F993" s="176">
        <f t="shared" si="382"/>
        <v>4.5</v>
      </c>
      <c r="G993" s="128">
        <f t="shared" si="382"/>
        <v>6.75</v>
      </c>
      <c r="H993" s="128">
        <f t="shared" si="382"/>
        <v>14.75</v>
      </c>
    </row>
    <row r="994" spans="1:8" x14ac:dyDescent="0.25">
      <c r="A994" s="56"/>
      <c r="B994" s="163" t="s">
        <v>606</v>
      </c>
      <c r="C994" s="66"/>
      <c r="D994" s="66"/>
      <c r="E994" s="66"/>
      <c r="F994" s="67"/>
      <c r="G994" s="68"/>
      <c r="H994" s="68"/>
    </row>
    <row r="995" spans="1:8" x14ac:dyDescent="0.25">
      <c r="A995" s="56">
        <v>8</v>
      </c>
      <c r="B995" s="76" t="s">
        <v>81</v>
      </c>
      <c r="C995" s="66">
        <v>1</v>
      </c>
      <c r="D995" s="66">
        <f>C995-G995-H995</f>
        <v>0</v>
      </c>
      <c r="E995" s="66">
        <f>D995-F995</f>
        <v>0</v>
      </c>
      <c r="F995" s="67"/>
      <c r="G995" s="68"/>
      <c r="H995" s="66">
        <v>1</v>
      </c>
    </row>
    <row r="996" spans="1:8" x14ac:dyDescent="0.25">
      <c r="A996" s="56">
        <v>9</v>
      </c>
      <c r="B996" s="88" t="s">
        <v>295</v>
      </c>
      <c r="C996" s="66">
        <v>5.25</v>
      </c>
      <c r="D996" s="66">
        <f>C996-G996-H996</f>
        <v>0</v>
      </c>
      <c r="E996" s="66">
        <f>D996-F996</f>
        <v>0</v>
      </c>
      <c r="F996" s="67"/>
      <c r="G996" s="68"/>
      <c r="H996" s="66">
        <v>5.25</v>
      </c>
    </row>
    <row r="997" spans="1:8" x14ac:dyDescent="0.25">
      <c r="A997" s="56">
        <v>10</v>
      </c>
      <c r="B997" s="88" t="s">
        <v>485</v>
      </c>
      <c r="C997" s="66">
        <v>1</v>
      </c>
      <c r="D997" s="66">
        <f>C997-G997-H997</f>
        <v>0</v>
      </c>
      <c r="E997" s="66">
        <f>D997-F997</f>
        <v>0</v>
      </c>
      <c r="F997" s="67"/>
      <c r="G997" s="68"/>
      <c r="H997" s="66">
        <v>1</v>
      </c>
    </row>
    <row r="998" spans="1:8" x14ac:dyDescent="0.25">
      <c r="A998" s="56">
        <v>11</v>
      </c>
      <c r="B998" s="76" t="s">
        <v>45</v>
      </c>
      <c r="C998" s="66">
        <v>5.25</v>
      </c>
      <c r="D998" s="66">
        <f>C998-G998-H998</f>
        <v>0</v>
      </c>
      <c r="E998" s="66">
        <f>D998-F998</f>
        <v>0</v>
      </c>
      <c r="F998" s="67"/>
      <c r="G998" s="68"/>
      <c r="H998" s="66">
        <v>5.25</v>
      </c>
    </row>
    <row r="999" spans="1:8" x14ac:dyDescent="0.25">
      <c r="A999" s="56"/>
      <c r="B999" s="174" t="s">
        <v>486</v>
      </c>
      <c r="C999" s="128">
        <f t="shared" ref="C999:H999" si="383">SUM(C995:C998)</f>
        <v>12.5</v>
      </c>
      <c r="D999" s="128">
        <f t="shared" si="383"/>
        <v>0</v>
      </c>
      <c r="E999" s="128">
        <f t="shared" si="383"/>
        <v>0</v>
      </c>
      <c r="F999" s="176">
        <f t="shared" si="383"/>
        <v>0</v>
      </c>
      <c r="G999" s="128">
        <f t="shared" si="383"/>
        <v>0</v>
      </c>
      <c r="H999" s="128">
        <f t="shared" si="383"/>
        <v>12.5</v>
      </c>
    </row>
    <row r="1000" spans="1:8" x14ac:dyDescent="0.25">
      <c r="A1000" s="56"/>
      <c r="B1000" s="76"/>
      <c r="C1000" s="66"/>
      <c r="D1000" s="66"/>
      <c r="E1000" s="66"/>
      <c r="F1000" s="67"/>
      <c r="G1000" s="68"/>
      <c r="H1000" s="68"/>
    </row>
    <row r="1001" spans="1:8" ht="26.25" x14ac:dyDescent="0.25">
      <c r="A1001" s="123"/>
      <c r="B1001" s="93" t="s">
        <v>296</v>
      </c>
      <c r="C1001" s="94">
        <f t="shared" ref="C1001:H1001" si="384">C993+C999</f>
        <v>38.5</v>
      </c>
      <c r="D1001" s="94">
        <f t="shared" si="384"/>
        <v>4.5</v>
      </c>
      <c r="E1001" s="94">
        <f t="shared" si="384"/>
        <v>0</v>
      </c>
      <c r="F1001" s="95">
        <f t="shared" si="384"/>
        <v>4.5</v>
      </c>
      <c r="G1001" s="94">
        <f t="shared" si="384"/>
        <v>6.75</v>
      </c>
      <c r="H1001" s="94">
        <f t="shared" si="384"/>
        <v>27.25</v>
      </c>
    </row>
    <row r="1002" spans="1:8" x14ac:dyDescent="0.25">
      <c r="A1002" s="123"/>
      <c r="B1002" s="280"/>
      <c r="C1002" s="155">
        <f t="shared" ref="C1002:H1002" si="385">SUM(C1003:C1005)</f>
        <v>38.5</v>
      </c>
      <c r="D1002" s="155">
        <f t="shared" si="385"/>
        <v>4.5</v>
      </c>
      <c r="E1002" s="155">
        <f t="shared" si="385"/>
        <v>0</v>
      </c>
      <c r="F1002" s="156">
        <f t="shared" si="385"/>
        <v>4.5</v>
      </c>
      <c r="G1002" s="155">
        <f t="shared" si="385"/>
        <v>6.75</v>
      </c>
      <c r="H1002" s="155">
        <f t="shared" si="385"/>
        <v>27.25</v>
      </c>
    </row>
    <row r="1003" spans="1:8" x14ac:dyDescent="0.25">
      <c r="A1003" s="123"/>
      <c r="B1003" s="99" t="s">
        <v>211</v>
      </c>
      <c r="C1003" s="94">
        <f t="shared" ref="C1003:H1003" si="386">SUM(C987:C988)+C995</f>
        <v>8.25</v>
      </c>
      <c r="D1003" s="94">
        <f t="shared" si="386"/>
        <v>1.75</v>
      </c>
      <c r="E1003" s="94">
        <f t="shared" si="386"/>
        <v>0</v>
      </c>
      <c r="F1003" s="95">
        <f t="shared" si="386"/>
        <v>1.75</v>
      </c>
      <c r="G1003" s="94">
        <f t="shared" si="386"/>
        <v>1.75</v>
      </c>
      <c r="H1003" s="94">
        <f t="shared" si="386"/>
        <v>4.75</v>
      </c>
    </row>
    <row r="1004" spans="1:8" x14ac:dyDescent="0.25">
      <c r="A1004" s="123"/>
      <c r="B1004" s="99" t="s">
        <v>583</v>
      </c>
      <c r="C1004" s="94">
        <f t="shared" ref="C1004:H1004" si="387">SUM(C989:C990)+C996+C997</f>
        <v>19.25</v>
      </c>
      <c r="D1004" s="94">
        <f t="shared" si="387"/>
        <v>1.75</v>
      </c>
      <c r="E1004" s="94">
        <f t="shared" si="387"/>
        <v>0</v>
      </c>
      <c r="F1004" s="95">
        <f t="shared" si="387"/>
        <v>1.75</v>
      </c>
      <c r="G1004" s="94">
        <f t="shared" si="387"/>
        <v>3.25</v>
      </c>
      <c r="H1004" s="94">
        <f t="shared" si="387"/>
        <v>14.25</v>
      </c>
    </row>
    <row r="1005" spans="1:8" x14ac:dyDescent="0.25">
      <c r="A1005" s="123"/>
      <c r="B1005" s="99" t="s">
        <v>179</v>
      </c>
      <c r="C1005" s="94">
        <f t="shared" ref="C1005:H1005" si="388">SUM(C991:C992)+C998</f>
        <v>11</v>
      </c>
      <c r="D1005" s="94">
        <f t="shared" si="388"/>
        <v>1</v>
      </c>
      <c r="E1005" s="94">
        <f t="shared" si="388"/>
        <v>0</v>
      </c>
      <c r="F1005" s="95">
        <f t="shared" si="388"/>
        <v>1</v>
      </c>
      <c r="G1005" s="94">
        <f t="shared" si="388"/>
        <v>1.75</v>
      </c>
      <c r="H1005" s="94">
        <f t="shared" si="388"/>
        <v>8.25</v>
      </c>
    </row>
    <row r="1006" spans="1:8" x14ac:dyDescent="0.25">
      <c r="A1006" s="123"/>
      <c r="B1006" s="99"/>
      <c r="C1006" s="94"/>
      <c r="D1006" s="94"/>
      <c r="E1006" s="94"/>
      <c r="F1006" s="95"/>
      <c r="G1006" s="94"/>
      <c r="H1006" s="94"/>
    </row>
    <row r="1007" spans="1:8" x14ac:dyDescent="0.25">
      <c r="A1007" s="61"/>
      <c r="B1007" s="33" t="s">
        <v>239</v>
      </c>
      <c r="C1007" s="73"/>
      <c r="D1007" s="73"/>
      <c r="E1007" s="73"/>
      <c r="F1007" s="74"/>
      <c r="G1007" s="60"/>
      <c r="H1007" s="61"/>
    </row>
    <row r="1008" spans="1:8" x14ac:dyDescent="0.25">
      <c r="A1008" s="61">
        <v>1</v>
      </c>
      <c r="B1008" s="76" t="s">
        <v>240</v>
      </c>
      <c r="C1008" s="66">
        <v>1</v>
      </c>
      <c r="D1008" s="66">
        <f>C1008-G1008-H1008</f>
        <v>0.25</v>
      </c>
      <c r="E1008" s="66">
        <f>D1008-F1008</f>
        <v>0</v>
      </c>
      <c r="F1008" s="67">
        <v>0.25</v>
      </c>
      <c r="G1008" s="61"/>
      <c r="H1008" s="68">
        <v>0.75</v>
      </c>
    </row>
    <row r="1009" spans="1:8" x14ac:dyDescent="0.25">
      <c r="A1009" s="61">
        <v>2</v>
      </c>
      <c r="B1009" s="76" t="s">
        <v>595</v>
      </c>
      <c r="C1009" s="66">
        <v>4</v>
      </c>
      <c r="D1009" s="66">
        <f>C1009-G1009-H1009</f>
        <v>0.5</v>
      </c>
      <c r="E1009" s="66">
        <f>D1009-F1009</f>
        <v>0</v>
      </c>
      <c r="F1009" s="67">
        <f>0.25+0.25</f>
        <v>0.5</v>
      </c>
      <c r="G1009" s="68">
        <v>1</v>
      </c>
      <c r="H1009" s="68">
        <f>1+1.5</f>
        <v>2.5</v>
      </c>
    </row>
    <row r="1010" spans="1:8" x14ac:dyDescent="0.25">
      <c r="A1010" s="61">
        <v>3</v>
      </c>
      <c r="B1010" s="76" t="s">
        <v>44</v>
      </c>
      <c r="C1010" s="66">
        <v>0.5</v>
      </c>
      <c r="D1010" s="66">
        <f>C1010-G1010-H1010</f>
        <v>0</v>
      </c>
      <c r="E1010" s="66">
        <f>D1010-F1010</f>
        <v>0</v>
      </c>
      <c r="F1010" s="67"/>
      <c r="G1010" s="68">
        <v>0.5</v>
      </c>
      <c r="H1010" s="68"/>
    </row>
    <row r="1011" spans="1:8" x14ac:dyDescent="0.25">
      <c r="A1011" s="56">
        <v>4</v>
      </c>
      <c r="B1011" s="76" t="s">
        <v>45</v>
      </c>
      <c r="C1011" s="66">
        <v>2</v>
      </c>
      <c r="D1011" s="66">
        <f>C1011-G1011-H1011</f>
        <v>0.25</v>
      </c>
      <c r="E1011" s="66">
        <f>D1011-F1011</f>
        <v>0</v>
      </c>
      <c r="F1011" s="67">
        <f>0.25</f>
        <v>0.25</v>
      </c>
      <c r="G1011" s="68">
        <v>1</v>
      </c>
      <c r="H1011" s="68">
        <v>0.75</v>
      </c>
    </row>
    <row r="1012" spans="1:8" x14ac:dyDescent="0.25">
      <c r="A1012" s="61"/>
      <c r="B1012" s="72" t="s">
        <v>596</v>
      </c>
      <c r="C1012" s="73">
        <f t="shared" ref="C1012:H1012" si="389">SUM(C1008:C1011)</f>
        <v>7.5</v>
      </c>
      <c r="D1012" s="73">
        <f t="shared" si="389"/>
        <v>1</v>
      </c>
      <c r="E1012" s="73">
        <f t="shared" si="389"/>
        <v>0</v>
      </c>
      <c r="F1012" s="74">
        <f t="shared" si="389"/>
        <v>1</v>
      </c>
      <c r="G1012" s="73">
        <f t="shared" si="389"/>
        <v>2.5</v>
      </c>
      <c r="H1012" s="73">
        <f t="shared" si="389"/>
        <v>4</v>
      </c>
    </row>
    <row r="1013" spans="1:8" x14ac:dyDescent="0.25">
      <c r="A1013" s="61"/>
      <c r="B1013" s="72"/>
      <c r="C1013" s="83">
        <f t="shared" ref="C1013:H1013" si="390">SUM(C1014:C1016)</f>
        <v>7.5</v>
      </c>
      <c r="D1013" s="83">
        <f t="shared" si="390"/>
        <v>1</v>
      </c>
      <c r="E1013" s="83">
        <f t="shared" si="390"/>
        <v>0</v>
      </c>
      <c r="F1013" s="84">
        <f t="shared" si="390"/>
        <v>1</v>
      </c>
      <c r="G1013" s="83">
        <f t="shared" si="390"/>
        <v>2.5</v>
      </c>
      <c r="H1013" s="83">
        <f t="shared" si="390"/>
        <v>4</v>
      </c>
    </row>
    <row r="1014" spans="1:8" x14ac:dyDescent="0.25">
      <c r="A1014" s="61"/>
      <c r="B1014" s="106" t="s">
        <v>131</v>
      </c>
      <c r="C1014" s="73"/>
      <c r="D1014" s="73"/>
      <c r="E1014" s="73"/>
      <c r="F1014" s="74"/>
      <c r="G1014" s="73"/>
      <c r="H1014" s="75"/>
    </row>
    <row r="1015" spans="1:8" x14ac:dyDescent="0.25">
      <c r="A1015" s="61"/>
      <c r="B1015" s="82" t="s">
        <v>583</v>
      </c>
      <c r="C1015" s="73">
        <f t="shared" ref="C1015:H1015" si="391">C1008+C1009</f>
        <v>5</v>
      </c>
      <c r="D1015" s="73">
        <f t="shared" si="391"/>
        <v>0.75</v>
      </c>
      <c r="E1015" s="73">
        <f t="shared" si="391"/>
        <v>0</v>
      </c>
      <c r="F1015" s="74">
        <f t="shared" si="391"/>
        <v>0.75</v>
      </c>
      <c r="G1015" s="73">
        <f t="shared" si="391"/>
        <v>1</v>
      </c>
      <c r="H1015" s="73">
        <f t="shared" si="391"/>
        <v>3.25</v>
      </c>
    </row>
    <row r="1016" spans="1:8" x14ac:dyDescent="0.25">
      <c r="A1016" s="61"/>
      <c r="B1016" s="82" t="s">
        <v>179</v>
      </c>
      <c r="C1016" s="73">
        <f t="shared" ref="C1016:H1016" si="392">C1011+C1010</f>
        <v>2.5</v>
      </c>
      <c r="D1016" s="73">
        <f t="shared" si="392"/>
        <v>0.25</v>
      </c>
      <c r="E1016" s="73">
        <f t="shared" si="392"/>
        <v>0</v>
      </c>
      <c r="F1016" s="74">
        <f t="shared" si="392"/>
        <v>0.25</v>
      </c>
      <c r="G1016" s="73">
        <f t="shared" si="392"/>
        <v>1.5</v>
      </c>
      <c r="H1016" s="73">
        <f t="shared" si="392"/>
        <v>0.75</v>
      </c>
    </row>
    <row r="1017" spans="1:8" x14ac:dyDescent="0.25">
      <c r="A1017" s="61"/>
      <c r="B1017" s="33" t="s">
        <v>521</v>
      </c>
      <c r="C1017" s="68"/>
      <c r="D1017" s="68"/>
      <c r="E1017" s="68"/>
      <c r="F1017" s="71"/>
      <c r="G1017" s="60"/>
      <c r="H1017" s="61"/>
    </row>
    <row r="1018" spans="1:8" ht="26.25" x14ac:dyDescent="0.25">
      <c r="A1018" s="61">
        <v>1</v>
      </c>
      <c r="B1018" s="88" t="s">
        <v>236</v>
      </c>
      <c r="C1018" s="68">
        <v>1</v>
      </c>
      <c r="D1018" s="68">
        <f t="shared" ref="D1018:D1034" si="393">C1018-G1018-H1018</f>
        <v>0</v>
      </c>
      <c r="E1018" s="66">
        <f t="shared" ref="E1018:E1034" si="394">D1018-F1018</f>
        <v>0</v>
      </c>
      <c r="F1018" s="71"/>
      <c r="G1018" s="61">
        <v>0.25</v>
      </c>
      <c r="H1018" s="61">
        <v>0.75</v>
      </c>
    </row>
    <row r="1019" spans="1:8" x14ac:dyDescent="0.25">
      <c r="A1019" s="61">
        <v>2</v>
      </c>
      <c r="B1019" s="88" t="s">
        <v>81</v>
      </c>
      <c r="C1019" s="68">
        <f>1+1</f>
        <v>2</v>
      </c>
      <c r="D1019" s="68">
        <f t="shared" si="393"/>
        <v>0</v>
      </c>
      <c r="E1019" s="66">
        <f t="shared" si="394"/>
        <v>0</v>
      </c>
      <c r="F1019" s="71"/>
      <c r="G1019" s="281">
        <v>1</v>
      </c>
      <c r="H1019" s="68">
        <v>1</v>
      </c>
    </row>
    <row r="1020" spans="1:8" x14ac:dyDescent="0.25">
      <c r="A1020" s="61">
        <v>3</v>
      </c>
      <c r="B1020" s="76" t="s">
        <v>237</v>
      </c>
      <c r="C1020" s="68">
        <f>2.5+1.25</f>
        <v>3.75</v>
      </c>
      <c r="D1020" s="68">
        <f t="shared" si="393"/>
        <v>0.25</v>
      </c>
      <c r="E1020" s="66">
        <f t="shared" si="394"/>
        <v>0</v>
      </c>
      <c r="F1020" s="71">
        <f>0.25</f>
        <v>0.25</v>
      </c>
      <c r="G1020" s="68">
        <f>1.25+0.75</f>
        <v>2</v>
      </c>
      <c r="H1020" s="68">
        <v>1.5</v>
      </c>
    </row>
    <row r="1021" spans="1:8" x14ac:dyDescent="0.25">
      <c r="A1021" s="61">
        <v>4</v>
      </c>
      <c r="B1021" s="76" t="s">
        <v>32</v>
      </c>
      <c r="C1021" s="68">
        <v>0.25</v>
      </c>
      <c r="D1021" s="68">
        <f t="shared" si="393"/>
        <v>0</v>
      </c>
      <c r="E1021" s="66">
        <f t="shared" si="394"/>
        <v>0</v>
      </c>
      <c r="F1021" s="71"/>
      <c r="G1021" s="61">
        <v>0.25</v>
      </c>
      <c r="H1021" s="68"/>
    </row>
    <row r="1022" spans="1:8" x14ac:dyDescent="0.25">
      <c r="A1022" s="61">
        <v>5</v>
      </c>
      <c r="B1022" s="76" t="s">
        <v>56</v>
      </c>
      <c r="C1022" s="68">
        <v>0.75</v>
      </c>
      <c r="D1022" s="68">
        <f t="shared" si="393"/>
        <v>0</v>
      </c>
      <c r="E1022" s="66">
        <f t="shared" si="394"/>
        <v>0</v>
      </c>
      <c r="F1022" s="71"/>
      <c r="G1022" s="61">
        <v>0.25</v>
      </c>
      <c r="H1022" s="68">
        <v>0.5</v>
      </c>
    </row>
    <row r="1023" spans="1:8" x14ac:dyDescent="0.25">
      <c r="A1023" s="61">
        <v>6</v>
      </c>
      <c r="B1023" s="76" t="s">
        <v>90</v>
      </c>
      <c r="C1023" s="68">
        <v>1</v>
      </c>
      <c r="D1023" s="68">
        <f t="shared" si="393"/>
        <v>0</v>
      </c>
      <c r="E1023" s="66">
        <f t="shared" si="394"/>
        <v>0</v>
      </c>
      <c r="F1023" s="71"/>
      <c r="G1023" s="61">
        <v>0.25</v>
      </c>
      <c r="H1023" s="68">
        <v>0.75</v>
      </c>
    </row>
    <row r="1024" spans="1:8" x14ac:dyDescent="0.25">
      <c r="A1024" s="61">
        <v>7</v>
      </c>
      <c r="B1024" s="76" t="s">
        <v>268</v>
      </c>
      <c r="C1024" s="68">
        <v>1</v>
      </c>
      <c r="D1024" s="68">
        <f t="shared" si="393"/>
        <v>0</v>
      </c>
      <c r="E1024" s="66">
        <f t="shared" si="394"/>
        <v>0</v>
      </c>
      <c r="F1024" s="71"/>
      <c r="G1024" s="61"/>
      <c r="H1024" s="68">
        <v>1</v>
      </c>
    </row>
    <row r="1025" spans="1:9" x14ac:dyDescent="0.25">
      <c r="A1025" s="61">
        <v>8</v>
      </c>
      <c r="B1025" s="76" t="s">
        <v>59</v>
      </c>
      <c r="C1025" s="68">
        <v>0.25</v>
      </c>
      <c r="D1025" s="68">
        <f t="shared" si="393"/>
        <v>0</v>
      </c>
      <c r="E1025" s="66">
        <f t="shared" si="394"/>
        <v>0</v>
      </c>
      <c r="F1025" s="71"/>
      <c r="G1025" s="61">
        <v>0.25</v>
      </c>
      <c r="H1025" s="68"/>
    </row>
    <row r="1026" spans="1:9" x14ac:dyDescent="0.25">
      <c r="A1026" s="61">
        <v>9</v>
      </c>
      <c r="B1026" s="76" t="s">
        <v>53</v>
      </c>
      <c r="C1026" s="68">
        <v>1</v>
      </c>
      <c r="D1026" s="68">
        <f t="shared" si="393"/>
        <v>0</v>
      </c>
      <c r="E1026" s="66">
        <f t="shared" si="394"/>
        <v>0</v>
      </c>
      <c r="F1026" s="71"/>
      <c r="G1026" s="68">
        <v>1</v>
      </c>
      <c r="H1026" s="68"/>
    </row>
    <row r="1027" spans="1:9" x14ac:dyDescent="0.25">
      <c r="A1027" s="61">
        <v>10</v>
      </c>
      <c r="B1027" s="76" t="s">
        <v>64</v>
      </c>
      <c r="C1027" s="68">
        <f>4.75-2+1</f>
        <v>3.75</v>
      </c>
      <c r="D1027" s="68">
        <f t="shared" si="393"/>
        <v>0.25</v>
      </c>
      <c r="E1027" s="66">
        <f t="shared" si="394"/>
        <v>0</v>
      </c>
      <c r="F1027" s="71">
        <v>0.25</v>
      </c>
      <c r="G1027" s="68">
        <f>1.5+1+0.25</f>
        <v>2.75</v>
      </c>
      <c r="H1027" s="68">
        <v>0.75</v>
      </c>
    </row>
    <row r="1028" spans="1:9" x14ac:dyDescent="0.25">
      <c r="A1028" s="61">
        <v>11</v>
      </c>
      <c r="B1028" s="76" t="s">
        <v>94</v>
      </c>
      <c r="C1028" s="68">
        <v>1</v>
      </c>
      <c r="D1028" s="68">
        <f t="shared" si="393"/>
        <v>0</v>
      </c>
      <c r="E1028" s="66">
        <f t="shared" si="394"/>
        <v>0</v>
      </c>
      <c r="F1028" s="71"/>
      <c r="G1028" s="68">
        <v>1</v>
      </c>
      <c r="H1028" s="68"/>
    </row>
    <row r="1029" spans="1:9" x14ac:dyDescent="0.25">
      <c r="A1029" s="61">
        <v>12</v>
      </c>
      <c r="B1029" s="76" t="s">
        <v>96</v>
      </c>
      <c r="C1029" s="68">
        <v>1</v>
      </c>
      <c r="D1029" s="68">
        <f t="shared" si="393"/>
        <v>0</v>
      </c>
      <c r="E1029" s="66">
        <f t="shared" si="394"/>
        <v>0</v>
      </c>
      <c r="F1029" s="71"/>
      <c r="G1029" s="68">
        <v>0.5</v>
      </c>
      <c r="H1029" s="68">
        <v>0.5</v>
      </c>
    </row>
    <row r="1030" spans="1:9" x14ac:dyDescent="0.25">
      <c r="A1030" s="61">
        <v>13</v>
      </c>
      <c r="B1030" s="76" t="s">
        <v>297</v>
      </c>
      <c r="C1030" s="68">
        <v>1</v>
      </c>
      <c r="D1030" s="68">
        <f t="shared" si="393"/>
        <v>0</v>
      </c>
      <c r="E1030" s="66">
        <f t="shared" si="394"/>
        <v>0</v>
      </c>
      <c r="F1030" s="71"/>
      <c r="G1030" s="68">
        <v>0.5</v>
      </c>
      <c r="H1030" s="68">
        <v>0.5</v>
      </c>
    </row>
    <row r="1031" spans="1:9" x14ac:dyDescent="0.25">
      <c r="A1031" s="61">
        <v>14</v>
      </c>
      <c r="B1031" s="76" t="s">
        <v>44</v>
      </c>
      <c r="C1031" s="68">
        <v>1</v>
      </c>
      <c r="D1031" s="68">
        <f t="shared" si="393"/>
        <v>0.25</v>
      </c>
      <c r="E1031" s="66">
        <f t="shared" si="394"/>
        <v>0</v>
      </c>
      <c r="F1031" s="71">
        <v>0.25</v>
      </c>
      <c r="G1031" s="68"/>
      <c r="H1031" s="68">
        <v>0.75</v>
      </c>
    </row>
    <row r="1032" spans="1:9" x14ac:dyDescent="0.25">
      <c r="A1032" s="61">
        <v>15</v>
      </c>
      <c r="B1032" s="76" t="s">
        <v>45</v>
      </c>
      <c r="C1032" s="68">
        <v>3</v>
      </c>
      <c r="D1032" s="68">
        <f t="shared" si="393"/>
        <v>0.5</v>
      </c>
      <c r="E1032" s="66">
        <f t="shared" si="394"/>
        <v>0</v>
      </c>
      <c r="F1032" s="71">
        <v>0.5</v>
      </c>
      <c r="G1032" s="68">
        <v>1</v>
      </c>
      <c r="H1032" s="68">
        <v>1.5</v>
      </c>
    </row>
    <row r="1033" spans="1:9" x14ac:dyDescent="0.25">
      <c r="A1033" s="61">
        <v>16</v>
      </c>
      <c r="B1033" s="76" t="s">
        <v>269</v>
      </c>
      <c r="C1033" s="68">
        <f>1+1+1-1</f>
        <v>2</v>
      </c>
      <c r="D1033" s="68">
        <f t="shared" si="393"/>
        <v>0</v>
      </c>
      <c r="E1033" s="66">
        <f t="shared" si="394"/>
        <v>0</v>
      </c>
      <c r="F1033" s="71"/>
      <c r="G1033" s="68"/>
      <c r="H1033" s="68">
        <f>1+1+1-1</f>
        <v>2</v>
      </c>
    </row>
    <row r="1034" spans="1:9" x14ac:dyDescent="0.25">
      <c r="A1034" s="61">
        <v>17</v>
      </c>
      <c r="B1034" s="76" t="s">
        <v>189</v>
      </c>
      <c r="C1034" s="68">
        <v>1</v>
      </c>
      <c r="D1034" s="68">
        <f t="shared" si="393"/>
        <v>0</v>
      </c>
      <c r="E1034" s="66">
        <f t="shared" si="394"/>
        <v>0</v>
      </c>
      <c r="F1034" s="71"/>
      <c r="G1034" s="68"/>
      <c r="H1034" s="68">
        <v>1</v>
      </c>
    </row>
    <row r="1035" spans="1:9" x14ac:dyDescent="0.25">
      <c r="A1035" s="61"/>
      <c r="B1035" s="72" t="s">
        <v>604</v>
      </c>
      <c r="C1035" s="73">
        <f t="shared" ref="C1035:H1035" si="395">SUM(C1018:C1034)</f>
        <v>24.75</v>
      </c>
      <c r="D1035" s="73">
        <f t="shared" si="395"/>
        <v>1.25</v>
      </c>
      <c r="E1035" s="73">
        <f t="shared" si="395"/>
        <v>0</v>
      </c>
      <c r="F1035" s="74">
        <f t="shared" si="395"/>
        <v>1.25</v>
      </c>
      <c r="G1035" s="73">
        <f t="shared" si="395"/>
        <v>11</v>
      </c>
      <c r="H1035" s="73">
        <f t="shared" si="395"/>
        <v>12.5</v>
      </c>
    </row>
    <row r="1036" spans="1:9" x14ac:dyDescent="0.25">
      <c r="A1036" s="61"/>
      <c r="B1036" s="72"/>
      <c r="C1036" s="83">
        <f t="shared" ref="C1036:H1036" si="396">SUM(C1037:C1040)</f>
        <v>24.75</v>
      </c>
      <c r="D1036" s="83">
        <f t="shared" si="396"/>
        <v>1.25</v>
      </c>
      <c r="E1036" s="83">
        <f t="shared" si="396"/>
        <v>0</v>
      </c>
      <c r="F1036" s="84">
        <f t="shared" si="396"/>
        <v>1.25</v>
      </c>
      <c r="G1036" s="83">
        <f t="shared" si="396"/>
        <v>11</v>
      </c>
      <c r="H1036" s="83">
        <f t="shared" si="396"/>
        <v>12.5</v>
      </c>
      <c r="I1036" s="3"/>
    </row>
    <row r="1037" spans="1:9" x14ac:dyDescent="0.25">
      <c r="A1037" s="61"/>
      <c r="B1037" s="82" t="s">
        <v>605</v>
      </c>
      <c r="C1037" s="73">
        <f t="shared" ref="C1037:H1037" si="397">SUM(C1018:C1025)</f>
        <v>10</v>
      </c>
      <c r="D1037" s="73">
        <f t="shared" si="397"/>
        <v>0.25</v>
      </c>
      <c r="E1037" s="73">
        <f t="shared" si="397"/>
        <v>0</v>
      </c>
      <c r="F1037" s="74">
        <f t="shared" si="397"/>
        <v>0.25</v>
      </c>
      <c r="G1037" s="73">
        <f t="shared" si="397"/>
        <v>4.25</v>
      </c>
      <c r="H1037" s="73">
        <f t="shared" si="397"/>
        <v>5.5</v>
      </c>
      <c r="I1037" s="3"/>
    </row>
    <row r="1038" spans="1:9" x14ac:dyDescent="0.25">
      <c r="A1038" s="61"/>
      <c r="B1038" s="82" t="s">
        <v>583</v>
      </c>
      <c r="C1038" s="73">
        <f t="shared" ref="C1038:H1038" si="398">SUM(C1026:C1030)</f>
        <v>7.75</v>
      </c>
      <c r="D1038" s="73">
        <f t="shared" si="398"/>
        <v>0.25</v>
      </c>
      <c r="E1038" s="73">
        <f t="shared" si="398"/>
        <v>0</v>
      </c>
      <c r="F1038" s="74">
        <f t="shared" si="398"/>
        <v>0.25</v>
      </c>
      <c r="G1038" s="73">
        <f t="shared" si="398"/>
        <v>5.75</v>
      </c>
      <c r="H1038" s="73">
        <f t="shared" si="398"/>
        <v>1.75</v>
      </c>
      <c r="I1038" s="3"/>
    </row>
    <row r="1039" spans="1:9" x14ac:dyDescent="0.25">
      <c r="A1039" s="61"/>
      <c r="B1039" s="82" t="s">
        <v>179</v>
      </c>
      <c r="C1039" s="73">
        <f t="shared" ref="C1039:H1039" si="399">SUM(C1031:C1032)</f>
        <v>4</v>
      </c>
      <c r="D1039" s="73">
        <f t="shared" si="399"/>
        <v>0.75</v>
      </c>
      <c r="E1039" s="73">
        <f t="shared" si="399"/>
        <v>0</v>
      </c>
      <c r="F1039" s="74">
        <f t="shared" si="399"/>
        <v>0.75</v>
      </c>
      <c r="G1039" s="73">
        <f t="shared" si="399"/>
        <v>1</v>
      </c>
      <c r="H1039" s="73">
        <f t="shared" si="399"/>
        <v>2.25</v>
      </c>
      <c r="I1039" s="3"/>
    </row>
    <row r="1040" spans="1:9" x14ac:dyDescent="0.25">
      <c r="A1040" s="61"/>
      <c r="B1040" s="82" t="s">
        <v>30</v>
      </c>
      <c r="C1040" s="73">
        <f t="shared" ref="C1040:H1040" si="400">SUM(C1033:C1034)</f>
        <v>3</v>
      </c>
      <c r="D1040" s="73">
        <f t="shared" si="400"/>
        <v>0</v>
      </c>
      <c r="E1040" s="73">
        <f t="shared" si="400"/>
        <v>0</v>
      </c>
      <c r="F1040" s="74">
        <f t="shared" si="400"/>
        <v>0</v>
      </c>
      <c r="G1040" s="73">
        <f t="shared" si="400"/>
        <v>0</v>
      </c>
      <c r="H1040" s="73">
        <f t="shared" si="400"/>
        <v>3</v>
      </c>
      <c r="I1040" s="3"/>
    </row>
    <row r="1041" spans="1:8" x14ac:dyDescent="0.25">
      <c r="A1041" s="61"/>
      <c r="B1041" s="72"/>
      <c r="C1041" s="73"/>
      <c r="D1041" s="73"/>
      <c r="E1041" s="73"/>
      <c r="F1041" s="74"/>
      <c r="G1041" s="60"/>
      <c r="H1041" s="61"/>
    </row>
    <row r="1042" spans="1:8" x14ac:dyDescent="0.25">
      <c r="A1042" s="61"/>
      <c r="B1042" s="33" t="s">
        <v>245</v>
      </c>
      <c r="C1042" s="73"/>
      <c r="D1042" s="73"/>
      <c r="E1042" s="73"/>
      <c r="F1042" s="74"/>
      <c r="G1042" s="60"/>
      <c r="H1042" s="61"/>
    </row>
    <row r="1043" spans="1:8" x14ac:dyDescent="0.25">
      <c r="A1043" s="61">
        <v>1</v>
      </c>
      <c r="B1043" s="65" t="s">
        <v>246</v>
      </c>
      <c r="C1043" s="68">
        <v>1</v>
      </c>
      <c r="D1043" s="68">
        <f>C1043-G1043-H1043</f>
        <v>0.5</v>
      </c>
      <c r="E1043" s="66">
        <f>D1043-F1043</f>
        <v>0.5</v>
      </c>
      <c r="F1043" s="71"/>
      <c r="G1043" s="68">
        <v>0.5</v>
      </c>
      <c r="H1043" s="68"/>
    </row>
    <row r="1044" spans="1:8" x14ac:dyDescent="0.25">
      <c r="A1044" s="61">
        <v>2</v>
      </c>
      <c r="B1044" s="65" t="s">
        <v>45</v>
      </c>
      <c r="C1044" s="68">
        <v>1</v>
      </c>
      <c r="D1044" s="68">
        <f>C1044-G1044-H1044</f>
        <v>0</v>
      </c>
      <c r="E1044" s="66">
        <f>D1044-F1044</f>
        <v>0</v>
      </c>
      <c r="F1044" s="71"/>
      <c r="G1044" s="68">
        <v>1</v>
      </c>
      <c r="H1044" s="68"/>
    </row>
    <row r="1045" spans="1:8" x14ac:dyDescent="0.25">
      <c r="A1045" s="61"/>
      <c r="B1045" s="106" t="s">
        <v>20</v>
      </c>
      <c r="C1045" s="73">
        <f t="shared" ref="C1045:H1045" si="401">SUM(C1043:C1044)</f>
        <v>2</v>
      </c>
      <c r="D1045" s="73">
        <f t="shared" si="401"/>
        <v>0.5</v>
      </c>
      <c r="E1045" s="73">
        <f t="shared" si="401"/>
        <v>0.5</v>
      </c>
      <c r="F1045" s="74">
        <f t="shared" si="401"/>
        <v>0</v>
      </c>
      <c r="G1045" s="73">
        <f t="shared" si="401"/>
        <v>1.5</v>
      </c>
      <c r="H1045" s="73">
        <f t="shared" si="401"/>
        <v>0</v>
      </c>
    </row>
    <row r="1046" spans="1:8" x14ac:dyDescent="0.25">
      <c r="A1046" s="61"/>
      <c r="B1046" s="79" t="s">
        <v>247</v>
      </c>
      <c r="C1046" s="73"/>
      <c r="D1046" s="73"/>
      <c r="E1046" s="73"/>
      <c r="F1046" s="74"/>
      <c r="G1046" s="60"/>
      <c r="H1046" s="61"/>
    </row>
    <row r="1047" spans="1:8" ht="26.25" x14ac:dyDescent="0.25">
      <c r="A1047" s="61">
        <v>1</v>
      </c>
      <c r="B1047" s="88" t="s">
        <v>248</v>
      </c>
      <c r="C1047" s="66">
        <v>1</v>
      </c>
      <c r="D1047" s="66">
        <f>C1047-G1047-H1047</f>
        <v>0.75</v>
      </c>
      <c r="E1047" s="66">
        <f>D1047-F1047</f>
        <v>0.75</v>
      </c>
      <c r="F1047" s="67"/>
      <c r="G1047" s="61">
        <v>0.25</v>
      </c>
      <c r="H1047" s="68"/>
    </row>
    <row r="1048" spans="1:8" x14ac:dyDescent="0.25">
      <c r="A1048" s="61">
        <v>2</v>
      </c>
      <c r="B1048" s="76" t="s">
        <v>249</v>
      </c>
      <c r="C1048" s="66">
        <v>1</v>
      </c>
      <c r="D1048" s="66">
        <f>C1048-G1048-H1048</f>
        <v>1</v>
      </c>
      <c r="E1048" s="66">
        <f>D1048-F1048</f>
        <v>1</v>
      </c>
      <c r="F1048" s="67"/>
      <c r="G1048" s="60"/>
      <c r="H1048" s="68"/>
    </row>
    <row r="1049" spans="1:8" x14ac:dyDescent="0.25">
      <c r="A1049" s="61"/>
      <c r="B1049" s="106" t="s">
        <v>20</v>
      </c>
      <c r="C1049" s="73">
        <f t="shared" ref="C1049:H1049" si="402">SUM(C1047:C1048)</f>
        <v>2</v>
      </c>
      <c r="D1049" s="73">
        <f t="shared" si="402"/>
        <v>1.75</v>
      </c>
      <c r="E1049" s="73">
        <f t="shared" si="402"/>
        <v>1.75</v>
      </c>
      <c r="F1049" s="74">
        <f t="shared" si="402"/>
        <v>0</v>
      </c>
      <c r="G1049" s="73">
        <f t="shared" si="402"/>
        <v>0.25</v>
      </c>
      <c r="H1049" s="73">
        <f t="shared" si="402"/>
        <v>0</v>
      </c>
    </row>
    <row r="1050" spans="1:8" x14ac:dyDescent="0.25">
      <c r="A1050" s="61"/>
      <c r="B1050" s="79" t="s">
        <v>98</v>
      </c>
      <c r="C1050" s="66"/>
      <c r="D1050" s="66"/>
      <c r="E1050" s="66"/>
      <c r="F1050" s="67"/>
      <c r="G1050" s="60"/>
      <c r="H1050" s="61"/>
    </row>
    <row r="1051" spans="1:8" ht="26.25" x14ac:dyDescent="0.25">
      <c r="A1051" s="61">
        <v>1</v>
      </c>
      <c r="B1051" s="88" t="s">
        <v>101</v>
      </c>
      <c r="C1051" s="68">
        <v>1.5</v>
      </c>
      <c r="D1051" s="68">
        <f t="shared" ref="D1051:D1062" si="403">C1051-G1051-H1051</f>
        <v>1.25</v>
      </c>
      <c r="E1051" s="66">
        <f t="shared" ref="E1051:E1062" si="404">D1051-F1051</f>
        <v>1.25</v>
      </c>
      <c r="F1051" s="71"/>
      <c r="G1051" s="61">
        <v>0.25</v>
      </c>
      <c r="H1051" s="68"/>
    </row>
    <row r="1052" spans="1:8" ht="26.25" x14ac:dyDescent="0.25">
      <c r="A1052" s="61">
        <v>2</v>
      </c>
      <c r="B1052" s="88" t="s">
        <v>298</v>
      </c>
      <c r="C1052" s="68">
        <v>2</v>
      </c>
      <c r="D1052" s="68">
        <f t="shared" si="403"/>
        <v>2</v>
      </c>
      <c r="E1052" s="66">
        <f t="shared" si="404"/>
        <v>2</v>
      </c>
      <c r="F1052" s="71"/>
      <c r="G1052" s="61"/>
      <c r="H1052" s="68"/>
    </row>
    <row r="1053" spans="1:8" x14ac:dyDescent="0.25">
      <c r="A1053" s="61">
        <v>3</v>
      </c>
      <c r="B1053" s="60" t="s">
        <v>102</v>
      </c>
      <c r="C1053" s="68">
        <v>2.5</v>
      </c>
      <c r="D1053" s="68">
        <f t="shared" si="403"/>
        <v>2.25</v>
      </c>
      <c r="E1053" s="66">
        <f t="shared" si="404"/>
        <v>2.25</v>
      </c>
      <c r="F1053" s="71"/>
      <c r="G1053" s="61">
        <v>0.25</v>
      </c>
      <c r="H1053" s="68"/>
    </row>
    <row r="1054" spans="1:8" x14ac:dyDescent="0.25">
      <c r="A1054" s="61">
        <v>4</v>
      </c>
      <c r="B1054" s="60" t="s">
        <v>103</v>
      </c>
      <c r="C1054" s="68">
        <v>2</v>
      </c>
      <c r="D1054" s="68">
        <f t="shared" si="403"/>
        <v>1.75</v>
      </c>
      <c r="E1054" s="66">
        <f t="shared" si="404"/>
        <v>1.75</v>
      </c>
      <c r="F1054" s="71"/>
      <c r="G1054" s="61">
        <v>0.25</v>
      </c>
      <c r="H1054" s="68"/>
    </row>
    <row r="1055" spans="1:8" x14ac:dyDescent="0.25">
      <c r="A1055" s="61">
        <v>5</v>
      </c>
      <c r="B1055" s="60" t="s">
        <v>100</v>
      </c>
      <c r="C1055" s="68">
        <v>2</v>
      </c>
      <c r="D1055" s="68">
        <f t="shared" si="403"/>
        <v>1.5</v>
      </c>
      <c r="E1055" s="66">
        <f t="shared" si="404"/>
        <v>1.5</v>
      </c>
      <c r="F1055" s="71"/>
      <c r="G1055" s="68">
        <f>0.25+0.25</f>
        <v>0.5</v>
      </c>
      <c r="H1055" s="68"/>
    </row>
    <row r="1056" spans="1:8" x14ac:dyDescent="0.25">
      <c r="A1056" s="61">
        <v>6</v>
      </c>
      <c r="B1056" s="60" t="s">
        <v>299</v>
      </c>
      <c r="C1056" s="68">
        <v>2</v>
      </c>
      <c r="D1056" s="68">
        <f t="shared" si="403"/>
        <v>2</v>
      </c>
      <c r="E1056" s="66">
        <f t="shared" si="404"/>
        <v>2</v>
      </c>
      <c r="F1056" s="71"/>
      <c r="G1056" s="68"/>
      <c r="H1056" s="68"/>
    </row>
    <row r="1057" spans="1:9" x14ac:dyDescent="0.25">
      <c r="A1057" s="61">
        <v>7</v>
      </c>
      <c r="B1057" s="60" t="s">
        <v>253</v>
      </c>
      <c r="C1057" s="68">
        <v>0.5</v>
      </c>
      <c r="D1057" s="68">
        <f t="shared" si="403"/>
        <v>0.5</v>
      </c>
      <c r="E1057" s="66">
        <f t="shared" si="404"/>
        <v>0.5</v>
      </c>
      <c r="F1057" s="71"/>
      <c r="G1057" s="68"/>
      <c r="H1057" s="68"/>
    </row>
    <row r="1058" spans="1:9" x14ac:dyDescent="0.25">
      <c r="A1058" s="61">
        <v>8</v>
      </c>
      <c r="B1058" s="76" t="s">
        <v>104</v>
      </c>
      <c r="C1058" s="68">
        <v>2</v>
      </c>
      <c r="D1058" s="68">
        <f t="shared" si="403"/>
        <v>1.5</v>
      </c>
      <c r="E1058" s="66">
        <f t="shared" si="404"/>
        <v>1.5</v>
      </c>
      <c r="F1058" s="71"/>
      <c r="G1058" s="68">
        <v>0.5</v>
      </c>
      <c r="H1058" s="68"/>
    </row>
    <row r="1059" spans="1:9" x14ac:dyDescent="0.25">
      <c r="A1059" s="61">
        <v>9</v>
      </c>
      <c r="B1059" s="60" t="s">
        <v>105</v>
      </c>
      <c r="C1059" s="68">
        <v>1</v>
      </c>
      <c r="D1059" s="68">
        <f t="shared" si="403"/>
        <v>1</v>
      </c>
      <c r="E1059" s="66">
        <f t="shared" si="404"/>
        <v>1</v>
      </c>
      <c r="F1059" s="71"/>
      <c r="G1059" s="61"/>
      <c r="H1059" s="68"/>
    </row>
    <row r="1060" spans="1:9" x14ac:dyDescent="0.25">
      <c r="A1060" s="61">
        <v>10</v>
      </c>
      <c r="B1060" s="60" t="s">
        <v>252</v>
      </c>
      <c r="C1060" s="68">
        <v>1</v>
      </c>
      <c r="D1060" s="68">
        <f t="shared" si="403"/>
        <v>0.75</v>
      </c>
      <c r="E1060" s="66">
        <f t="shared" si="404"/>
        <v>0.75</v>
      </c>
      <c r="F1060" s="71"/>
      <c r="G1060" s="61">
        <v>0.25</v>
      </c>
      <c r="H1060" s="68"/>
    </row>
    <row r="1061" spans="1:9" x14ac:dyDescent="0.25">
      <c r="A1061" s="61">
        <v>11</v>
      </c>
      <c r="B1061" s="60" t="s">
        <v>106</v>
      </c>
      <c r="C1061" s="68">
        <f>4-2</f>
        <v>2</v>
      </c>
      <c r="D1061" s="68">
        <f t="shared" si="403"/>
        <v>1.5</v>
      </c>
      <c r="E1061" s="66">
        <f t="shared" si="404"/>
        <v>1.5</v>
      </c>
      <c r="F1061" s="71"/>
      <c r="G1061" s="68">
        <f>1-0.5</f>
        <v>0.5</v>
      </c>
      <c r="H1061" s="68"/>
    </row>
    <row r="1062" spans="1:9" x14ac:dyDescent="0.25">
      <c r="A1062" s="61">
        <v>12</v>
      </c>
      <c r="B1062" s="60" t="s">
        <v>108</v>
      </c>
      <c r="C1062" s="68">
        <v>3</v>
      </c>
      <c r="D1062" s="68">
        <f t="shared" si="403"/>
        <v>2.5</v>
      </c>
      <c r="E1062" s="66">
        <f t="shared" si="404"/>
        <v>2.5</v>
      </c>
      <c r="F1062" s="71"/>
      <c r="G1062" s="61">
        <v>0.5</v>
      </c>
      <c r="H1062" s="68"/>
    </row>
    <row r="1063" spans="1:9" x14ac:dyDescent="0.25">
      <c r="A1063" s="61"/>
      <c r="B1063" s="72" t="s">
        <v>54</v>
      </c>
      <c r="C1063" s="73">
        <f t="shared" ref="C1063:H1063" si="405">SUM(C1051:C1062)</f>
        <v>21.5</v>
      </c>
      <c r="D1063" s="73">
        <f t="shared" si="405"/>
        <v>18.5</v>
      </c>
      <c r="E1063" s="73">
        <f t="shared" si="405"/>
        <v>18.5</v>
      </c>
      <c r="F1063" s="74">
        <f t="shared" si="405"/>
        <v>0</v>
      </c>
      <c r="G1063" s="73">
        <f t="shared" si="405"/>
        <v>3</v>
      </c>
      <c r="H1063" s="73">
        <f t="shared" si="405"/>
        <v>0</v>
      </c>
    </row>
    <row r="1064" spans="1:9" x14ac:dyDescent="0.25">
      <c r="A1064" s="61"/>
      <c r="B1064" s="100" t="s">
        <v>534</v>
      </c>
      <c r="C1064" s="73"/>
      <c r="D1064" s="73"/>
      <c r="E1064" s="73"/>
      <c r="F1064" s="74"/>
      <c r="G1064" s="60"/>
      <c r="H1064" s="61"/>
    </row>
    <row r="1065" spans="1:9" x14ac:dyDescent="0.25">
      <c r="A1065" s="61">
        <v>13</v>
      </c>
      <c r="B1065" s="76" t="s">
        <v>257</v>
      </c>
      <c r="C1065" s="68">
        <f>1-1</f>
        <v>0</v>
      </c>
      <c r="D1065" s="68">
        <f>C1065-G1065-H1065</f>
        <v>0</v>
      </c>
      <c r="E1065" s="66">
        <f>D1065-F1065</f>
        <v>0</v>
      </c>
      <c r="F1065" s="71"/>
      <c r="G1065" s="60"/>
      <c r="H1065" s="68"/>
    </row>
    <row r="1066" spans="1:9" x14ac:dyDescent="0.25">
      <c r="A1066" s="61">
        <v>14</v>
      </c>
      <c r="B1066" s="60" t="s">
        <v>259</v>
      </c>
      <c r="C1066" s="68">
        <f>3-3</f>
        <v>0</v>
      </c>
      <c r="D1066" s="68">
        <f>C1066-G1066-H1066</f>
        <v>0</v>
      </c>
      <c r="E1066" s="66">
        <f>D1066-F1066</f>
        <v>0</v>
      </c>
      <c r="F1066" s="71"/>
      <c r="G1066" s="60"/>
      <c r="H1066" s="68"/>
    </row>
    <row r="1067" spans="1:9" x14ac:dyDescent="0.25">
      <c r="A1067" s="61">
        <v>15</v>
      </c>
      <c r="B1067" s="60" t="s">
        <v>260</v>
      </c>
      <c r="C1067" s="68">
        <f>3-3</f>
        <v>0</v>
      </c>
      <c r="D1067" s="68">
        <f>C1067-G1067-H1067</f>
        <v>0</v>
      </c>
      <c r="E1067" s="66">
        <f>D1067-F1067</f>
        <v>0</v>
      </c>
      <c r="F1067" s="71"/>
      <c r="G1067" s="61">
        <f>0.25-0.25</f>
        <v>0</v>
      </c>
      <c r="H1067" s="68"/>
    </row>
    <row r="1068" spans="1:9" x14ac:dyDescent="0.25">
      <c r="A1068" s="61">
        <v>1</v>
      </c>
      <c r="B1068" s="201" t="s">
        <v>487</v>
      </c>
      <c r="C1068" s="68">
        <f>7+2</f>
        <v>9</v>
      </c>
      <c r="D1068" s="68">
        <f>C1068-G1068-H1068</f>
        <v>2.25</v>
      </c>
      <c r="E1068" s="66">
        <f>D1068-F1068</f>
        <v>2.25</v>
      </c>
      <c r="F1068" s="71"/>
      <c r="G1068" s="61">
        <f>1.75+0.5+4.5</f>
        <v>6.75</v>
      </c>
      <c r="H1068" s="68"/>
    </row>
    <row r="1069" spans="1:9" x14ac:dyDescent="0.25">
      <c r="A1069" s="61"/>
      <c r="B1069" s="72" t="s">
        <v>54</v>
      </c>
      <c r="C1069" s="73">
        <f t="shared" ref="C1069:H1069" si="406">SUM(C1065:C1068)</f>
        <v>9</v>
      </c>
      <c r="D1069" s="73">
        <f t="shared" si="406"/>
        <v>2.25</v>
      </c>
      <c r="E1069" s="73">
        <f t="shared" si="406"/>
        <v>2.25</v>
      </c>
      <c r="F1069" s="74">
        <f t="shared" si="406"/>
        <v>0</v>
      </c>
      <c r="G1069" s="73">
        <f t="shared" si="406"/>
        <v>6.75</v>
      </c>
      <c r="H1069" s="73">
        <f t="shared" si="406"/>
        <v>0</v>
      </c>
    </row>
    <row r="1070" spans="1:9" ht="31.5" x14ac:dyDescent="0.25">
      <c r="A1070" s="61"/>
      <c r="B1070" s="282" t="s">
        <v>566</v>
      </c>
      <c r="C1070" s="94">
        <f t="shared" ref="C1070:H1070" si="407">C1069+C1063+C1049+C1045+C1035+C1012+C979+C963+C907+C893+C881+C877+C1001</f>
        <v>229</v>
      </c>
      <c r="D1070" s="94">
        <f t="shared" si="407"/>
        <v>50.25</v>
      </c>
      <c r="E1070" s="94">
        <f t="shared" si="407"/>
        <v>35.25</v>
      </c>
      <c r="F1070" s="95">
        <f t="shared" si="407"/>
        <v>15</v>
      </c>
      <c r="G1070" s="94">
        <f t="shared" si="407"/>
        <v>88.25</v>
      </c>
      <c r="H1070" s="94">
        <f t="shared" si="407"/>
        <v>90.5</v>
      </c>
      <c r="I1070" s="3">
        <f>SUM(E1070:H1070)</f>
        <v>229</v>
      </c>
    </row>
    <row r="1071" spans="1:9" x14ac:dyDescent="0.25">
      <c r="A1071" s="61"/>
      <c r="B1071" s="96" t="s">
        <v>131</v>
      </c>
      <c r="C1071" s="97">
        <f t="shared" ref="C1071:H1071" si="408">SUM(C1072:C1075)</f>
        <v>229</v>
      </c>
      <c r="D1071" s="97">
        <f t="shared" si="408"/>
        <v>50.25</v>
      </c>
      <c r="E1071" s="97">
        <f t="shared" si="408"/>
        <v>35.25</v>
      </c>
      <c r="F1071" s="98">
        <f t="shared" si="408"/>
        <v>15</v>
      </c>
      <c r="G1071" s="97">
        <f t="shared" si="408"/>
        <v>88.25</v>
      </c>
      <c r="H1071" s="97">
        <f t="shared" si="408"/>
        <v>90.5</v>
      </c>
      <c r="I1071" s="16">
        <f>SUM(I1072:I1075)</f>
        <v>229</v>
      </c>
    </row>
    <row r="1072" spans="1:9" x14ac:dyDescent="0.25">
      <c r="A1072" s="61"/>
      <c r="B1072" s="99" t="s">
        <v>28</v>
      </c>
      <c r="C1072" s="94">
        <f>C1014+C981+C965+C909+C895+C874+C873+C1003+C1037</f>
        <v>44.5</v>
      </c>
      <c r="D1072" s="94">
        <f t="shared" ref="D1072:H1072" si="409">D1014+D981+D965+D909+D895+D874+D873+D1003+D1037</f>
        <v>5</v>
      </c>
      <c r="E1072" s="94">
        <f t="shared" si="409"/>
        <v>2</v>
      </c>
      <c r="F1072" s="94">
        <f t="shared" si="409"/>
        <v>3</v>
      </c>
      <c r="G1072" s="94">
        <f t="shared" si="409"/>
        <v>20</v>
      </c>
      <c r="H1072" s="94">
        <f t="shared" si="409"/>
        <v>19.5</v>
      </c>
      <c r="I1072" s="3">
        <f>SUM(E1072:H1072)</f>
        <v>44.5</v>
      </c>
    </row>
    <row r="1073" spans="1:9" x14ac:dyDescent="0.25">
      <c r="A1073" s="61"/>
      <c r="B1073" s="99" t="s">
        <v>29</v>
      </c>
      <c r="C1073" s="94">
        <f t="shared" ref="C1073:H1073" si="410">C1043+C1015+C982+C966+C910+C896+C879+C876+C875+C1004+C1038</f>
        <v>91.25</v>
      </c>
      <c r="D1073" s="94">
        <f t="shared" si="410"/>
        <v>12.5</v>
      </c>
      <c r="E1073" s="94">
        <f t="shared" si="410"/>
        <v>6.25</v>
      </c>
      <c r="F1073" s="95">
        <f t="shared" si="410"/>
        <v>6.25</v>
      </c>
      <c r="G1073" s="94">
        <f t="shared" si="410"/>
        <v>36.5</v>
      </c>
      <c r="H1073" s="94">
        <f t="shared" si="410"/>
        <v>42.25</v>
      </c>
      <c r="I1073" s="3">
        <f t="shared" ref="I1073:I1075" si="411">SUM(E1073:H1073)</f>
        <v>91.25</v>
      </c>
    </row>
    <row r="1074" spans="1:9" x14ac:dyDescent="0.25">
      <c r="A1074" s="61"/>
      <c r="B1074" s="99" t="s">
        <v>262</v>
      </c>
      <c r="C1074" s="94">
        <f t="shared" ref="C1074:H1074" si="412">C1044+C1016+C983+C967+C911+C897+C1005+C1039</f>
        <v>56.75</v>
      </c>
      <c r="D1074" s="94">
        <f t="shared" si="412"/>
        <v>9.25</v>
      </c>
      <c r="E1074" s="94">
        <f t="shared" si="412"/>
        <v>3.5</v>
      </c>
      <c r="F1074" s="95">
        <f t="shared" si="412"/>
        <v>5.75</v>
      </c>
      <c r="G1074" s="94">
        <f t="shared" si="412"/>
        <v>21.75</v>
      </c>
      <c r="H1074" s="94">
        <f t="shared" si="412"/>
        <v>25.75</v>
      </c>
      <c r="I1074" s="3">
        <f t="shared" si="411"/>
        <v>56.75</v>
      </c>
    </row>
    <row r="1075" spans="1:9" x14ac:dyDescent="0.25">
      <c r="A1075" s="61"/>
      <c r="B1075" s="99" t="s">
        <v>30</v>
      </c>
      <c r="C1075" s="94">
        <f t="shared" ref="C1075:H1075" si="413">C1049+C1063+C1069+C968+C880+C1040</f>
        <v>36.5</v>
      </c>
      <c r="D1075" s="94">
        <f t="shared" si="413"/>
        <v>23.5</v>
      </c>
      <c r="E1075" s="94">
        <f t="shared" si="413"/>
        <v>23.5</v>
      </c>
      <c r="F1075" s="95">
        <f t="shared" si="413"/>
        <v>0</v>
      </c>
      <c r="G1075" s="94">
        <f t="shared" si="413"/>
        <v>10</v>
      </c>
      <c r="H1075" s="94">
        <f t="shared" si="413"/>
        <v>3</v>
      </c>
      <c r="I1075" s="3">
        <f t="shared" si="411"/>
        <v>36.5</v>
      </c>
    </row>
    <row r="1076" spans="1:9" x14ac:dyDescent="0.25">
      <c r="A1076" s="61"/>
      <c r="B1076" s="99"/>
      <c r="C1076" s="94"/>
      <c r="D1076" s="94"/>
      <c r="E1076" s="94"/>
      <c r="F1076" s="95"/>
      <c r="G1076" s="94"/>
      <c r="H1076" s="94"/>
      <c r="I1076" s="3"/>
    </row>
    <row r="1077" spans="1:9" ht="18.75" x14ac:dyDescent="0.3">
      <c r="A1077" s="56"/>
      <c r="B1077" s="283" t="s">
        <v>607</v>
      </c>
      <c r="C1077" s="217"/>
      <c r="D1077" s="217"/>
      <c r="E1077" s="217"/>
      <c r="F1077" s="218"/>
      <c r="G1077" s="60"/>
      <c r="H1077" s="68"/>
      <c r="I1077" s="4"/>
    </row>
    <row r="1078" spans="1:9" ht="18.75" x14ac:dyDescent="0.3">
      <c r="A1078" s="56"/>
      <c r="B1078" s="283" t="s">
        <v>513</v>
      </c>
      <c r="C1078" s="217"/>
      <c r="D1078" s="217"/>
      <c r="E1078" s="217"/>
      <c r="F1078" s="218"/>
      <c r="G1078" s="60"/>
      <c r="H1078" s="68"/>
      <c r="I1078" s="4"/>
    </row>
    <row r="1079" spans="1:9" x14ac:dyDescent="0.25">
      <c r="A1079" s="56"/>
      <c r="B1079" s="62" t="s">
        <v>15</v>
      </c>
      <c r="C1079" s="217"/>
      <c r="D1079" s="217"/>
      <c r="E1079" s="217"/>
      <c r="F1079" s="218"/>
      <c r="G1079" s="60"/>
      <c r="H1079" s="68"/>
      <c r="I1079" s="4"/>
    </row>
    <row r="1080" spans="1:9" x14ac:dyDescent="0.25">
      <c r="A1080" s="56">
        <v>1</v>
      </c>
      <c r="B1080" s="76" t="s">
        <v>263</v>
      </c>
      <c r="C1080" s="66">
        <v>1</v>
      </c>
      <c r="D1080" s="66">
        <f t="shared" ref="D1080:D1084" si="414">C1080-G1080-H1080</f>
        <v>0.5</v>
      </c>
      <c r="E1080" s="66">
        <f t="shared" ref="E1080:E1084" si="415">D1080-F1080</f>
        <v>0.5</v>
      </c>
      <c r="F1080" s="67"/>
      <c r="G1080" s="68">
        <v>0.5</v>
      </c>
      <c r="H1080" s="68"/>
      <c r="I1080" s="4"/>
    </row>
    <row r="1081" spans="1:9" ht="26.25" x14ac:dyDescent="0.25">
      <c r="A1081" s="56">
        <v>2</v>
      </c>
      <c r="B1081" s="88" t="s">
        <v>207</v>
      </c>
      <c r="C1081" s="66">
        <v>1</v>
      </c>
      <c r="D1081" s="66">
        <f t="shared" si="414"/>
        <v>0.5</v>
      </c>
      <c r="E1081" s="66">
        <f t="shared" si="415"/>
        <v>0.5</v>
      </c>
      <c r="F1081" s="67"/>
      <c r="G1081" s="68">
        <v>0.5</v>
      </c>
      <c r="H1081" s="68"/>
      <c r="I1081" s="4"/>
    </row>
    <row r="1082" spans="1:9" ht="26.25" x14ac:dyDescent="0.25">
      <c r="A1082" s="56">
        <v>3</v>
      </c>
      <c r="B1082" s="88" t="s">
        <v>206</v>
      </c>
      <c r="C1082" s="66">
        <v>1</v>
      </c>
      <c r="D1082" s="66">
        <f t="shared" si="414"/>
        <v>0.5</v>
      </c>
      <c r="E1082" s="66">
        <f t="shared" si="415"/>
        <v>0.5</v>
      </c>
      <c r="F1082" s="67"/>
      <c r="G1082" s="68">
        <v>0.5</v>
      </c>
      <c r="H1082" s="68"/>
      <c r="I1082" s="4"/>
    </row>
    <row r="1083" spans="1:9" x14ac:dyDescent="0.25">
      <c r="A1083" s="56">
        <v>4</v>
      </c>
      <c r="B1083" s="88" t="s">
        <v>81</v>
      </c>
      <c r="C1083" s="66">
        <v>1</v>
      </c>
      <c r="D1083" s="66">
        <f t="shared" si="414"/>
        <v>0.25</v>
      </c>
      <c r="E1083" s="66">
        <f t="shared" si="415"/>
        <v>0.25</v>
      </c>
      <c r="F1083" s="67"/>
      <c r="G1083" s="68">
        <v>0.75</v>
      </c>
      <c r="H1083" s="68"/>
      <c r="I1083" s="4"/>
    </row>
    <row r="1084" spans="1:9" x14ac:dyDescent="0.25">
      <c r="A1084" s="61">
        <v>5</v>
      </c>
      <c r="B1084" s="86" t="s">
        <v>43</v>
      </c>
      <c r="C1084" s="66">
        <v>1</v>
      </c>
      <c r="D1084" s="66">
        <f t="shared" si="414"/>
        <v>0.5</v>
      </c>
      <c r="E1084" s="66">
        <f t="shared" si="415"/>
        <v>0.5</v>
      </c>
      <c r="F1084" s="67"/>
      <c r="G1084" s="68">
        <v>0.5</v>
      </c>
      <c r="H1084" s="68"/>
      <c r="I1084" s="4"/>
    </row>
    <row r="1085" spans="1:9" x14ac:dyDescent="0.25">
      <c r="A1085" s="56"/>
      <c r="B1085" s="267" t="s">
        <v>54</v>
      </c>
      <c r="C1085" s="217">
        <f t="shared" ref="C1085:H1085" si="416">SUM(C1080:C1084)</f>
        <v>5</v>
      </c>
      <c r="D1085" s="217">
        <f t="shared" si="416"/>
        <v>2.25</v>
      </c>
      <c r="E1085" s="217">
        <f t="shared" si="416"/>
        <v>2.25</v>
      </c>
      <c r="F1085" s="218">
        <f t="shared" si="416"/>
        <v>0</v>
      </c>
      <c r="G1085" s="217">
        <f t="shared" si="416"/>
        <v>2.75</v>
      </c>
      <c r="H1085" s="217">
        <f t="shared" si="416"/>
        <v>0</v>
      </c>
      <c r="I1085" s="4"/>
    </row>
    <row r="1086" spans="1:9" x14ac:dyDescent="0.25">
      <c r="A1086" s="56"/>
      <c r="B1086" s="284" t="s">
        <v>28</v>
      </c>
      <c r="C1086" s="217">
        <f t="shared" ref="C1086:H1086" si="417">SUM(C1080:C1083)</f>
        <v>4</v>
      </c>
      <c r="D1086" s="217">
        <f t="shared" si="417"/>
        <v>1.75</v>
      </c>
      <c r="E1086" s="217">
        <f t="shared" si="417"/>
        <v>1.75</v>
      </c>
      <c r="F1086" s="218">
        <f t="shared" si="417"/>
        <v>0</v>
      </c>
      <c r="G1086" s="217">
        <f t="shared" si="417"/>
        <v>2.25</v>
      </c>
      <c r="H1086" s="217">
        <f t="shared" si="417"/>
        <v>0</v>
      </c>
      <c r="I1086" s="20"/>
    </row>
    <row r="1087" spans="1:9" x14ac:dyDescent="0.25">
      <c r="A1087" s="56"/>
      <c r="B1087" s="284" t="s">
        <v>29</v>
      </c>
      <c r="C1087" s="217">
        <f t="shared" ref="C1087:H1087" si="418">SUM(C1084:C1084)</f>
        <v>1</v>
      </c>
      <c r="D1087" s="217">
        <f t="shared" si="418"/>
        <v>0.5</v>
      </c>
      <c r="E1087" s="217">
        <f t="shared" si="418"/>
        <v>0.5</v>
      </c>
      <c r="F1087" s="218">
        <f t="shared" si="418"/>
        <v>0</v>
      </c>
      <c r="G1087" s="217">
        <f t="shared" si="418"/>
        <v>0.5</v>
      </c>
      <c r="H1087" s="217">
        <f t="shared" si="418"/>
        <v>0</v>
      </c>
      <c r="I1087" s="21"/>
    </row>
    <row r="1088" spans="1:9" x14ac:dyDescent="0.25">
      <c r="A1088" s="56"/>
      <c r="B1088" s="33" t="s">
        <v>46</v>
      </c>
      <c r="C1088" s="73"/>
      <c r="D1088" s="73"/>
      <c r="E1088" s="73"/>
      <c r="F1088" s="74"/>
      <c r="G1088" s="60"/>
      <c r="H1088" s="73"/>
      <c r="I1088" s="20"/>
    </row>
    <row r="1089" spans="1:9" x14ac:dyDescent="0.25">
      <c r="A1089" s="56">
        <v>1</v>
      </c>
      <c r="B1089" s="70" t="s">
        <v>24</v>
      </c>
      <c r="C1089" s="68">
        <f>1</f>
        <v>1</v>
      </c>
      <c r="D1089" s="68">
        <f>C1089-G1089-H1089</f>
        <v>0.75</v>
      </c>
      <c r="E1089" s="66">
        <f>D1089-F1089</f>
        <v>0.75</v>
      </c>
      <c r="F1089" s="71"/>
      <c r="G1089" s="61">
        <v>0.25</v>
      </c>
      <c r="H1089" s="68"/>
      <c r="I1089" s="20"/>
    </row>
    <row r="1090" spans="1:9" x14ac:dyDescent="0.25">
      <c r="A1090" s="56">
        <v>2</v>
      </c>
      <c r="B1090" s="65" t="s">
        <v>35</v>
      </c>
      <c r="C1090" s="223">
        <v>1</v>
      </c>
      <c r="D1090" s="223">
        <f>C1090-G1090-H1090</f>
        <v>1</v>
      </c>
      <c r="E1090" s="66">
        <f>D1090-F1090</f>
        <v>1</v>
      </c>
      <c r="F1090" s="224"/>
      <c r="G1090" s="60"/>
      <c r="H1090" s="68"/>
      <c r="I1090" s="20"/>
    </row>
    <row r="1091" spans="1:9" x14ac:dyDescent="0.25">
      <c r="A1091" s="56"/>
      <c r="B1091" s="72" t="s">
        <v>20</v>
      </c>
      <c r="C1091" s="271">
        <f t="shared" ref="C1091:H1091" si="419">SUM(C1089:C1090)</f>
        <v>2</v>
      </c>
      <c r="D1091" s="271">
        <f t="shared" si="419"/>
        <v>1.75</v>
      </c>
      <c r="E1091" s="271">
        <f t="shared" si="419"/>
        <v>1.75</v>
      </c>
      <c r="F1091" s="272">
        <f t="shared" si="419"/>
        <v>0</v>
      </c>
      <c r="G1091" s="271">
        <f t="shared" si="419"/>
        <v>0.25</v>
      </c>
      <c r="H1091" s="271">
        <f t="shared" si="419"/>
        <v>0</v>
      </c>
    </row>
    <row r="1092" spans="1:9" x14ac:dyDescent="0.25">
      <c r="A1092" s="56"/>
      <c r="B1092" s="72"/>
      <c r="C1092" s="271"/>
      <c r="D1092" s="271"/>
      <c r="E1092" s="271"/>
      <c r="F1092" s="272"/>
      <c r="G1092" s="271"/>
      <c r="H1092" s="271"/>
    </row>
    <row r="1093" spans="1:9" x14ac:dyDescent="0.25">
      <c r="A1093" s="56"/>
      <c r="B1093" s="72"/>
      <c r="C1093" s="271"/>
      <c r="D1093" s="271"/>
      <c r="E1093" s="271"/>
      <c r="F1093" s="272"/>
      <c r="G1093" s="60"/>
      <c r="H1093" s="61"/>
    </row>
    <row r="1094" spans="1:9" x14ac:dyDescent="0.25">
      <c r="A1094" s="61"/>
      <c r="B1094" s="285" t="s">
        <v>608</v>
      </c>
      <c r="C1094" s="36"/>
      <c r="D1094" s="36"/>
      <c r="E1094" s="36"/>
      <c r="F1094" s="286"/>
      <c r="G1094" s="60"/>
      <c r="H1094" s="61"/>
    </row>
    <row r="1095" spans="1:9" x14ac:dyDescent="0.25">
      <c r="A1095" s="254" t="s">
        <v>609</v>
      </c>
      <c r="B1095" s="254"/>
      <c r="C1095" s="254"/>
      <c r="D1095" s="254"/>
      <c r="E1095" s="254"/>
      <c r="F1095" s="287"/>
      <c r="G1095" s="254"/>
      <c r="H1095" s="254"/>
    </row>
    <row r="1096" spans="1:9" x14ac:dyDescent="0.25">
      <c r="A1096" s="61">
        <v>1</v>
      </c>
      <c r="B1096" s="288" t="s">
        <v>209</v>
      </c>
      <c r="C1096" s="68">
        <v>1</v>
      </c>
      <c r="D1096" s="68">
        <f t="shared" ref="D1096:D1106" si="420">C1096-G1096-H1096</f>
        <v>0.75</v>
      </c>
      <c r="E1096" s="66">
        <f t="shared" ref="E1096:E1106" si="421">D1096-F1096</f>
        <v>0</v>
      </c>
      <c r="F1096" s="71">
        <v>0.75</v>
      </c>
      <c r="G1096" s="60">
        <v>0.25</v>
      </c>
      <c r="H1096" s="68"/>
    </row>
    <row r="1097" spans="1:9" x14ac:dyDescent="0.25">
      <c r="A1097" s="56">
        <v>2</v>
      </c>
      <c r="B1097" s="288" t="s">
        <v>32</v>
      </c>
      <c r="C1097" s="68">
        <f>2.75-1+1</f>
        <v>2.75</v>
      </c>
      <c r="D1097" s="68">
        <f t="shared" si="420"/>
        <v>0.75</v>
      </c>
      <c r="E1097" s="66">
        <f t="shared" si="421"/>
        <v>0.75</v>
      </c>
      <c r="F1097" s="71"/>
      <c r="G1097" s="68">
        <f>1.25+0.25</f>
        <v>1.5</v>
      </c>
      <c r="H1097" s="68">
        <v>0.5</v>
      </c>
    </row>
    <row r="1098" spans="1:9" hidden="1" x14ac:dyDescent="0.25">
      <c r="A1098" s="47"/>
      <c r="B1098" s="288" t="s">
        <v>59</v>
      </c>
      <c r="C1098" s="68">
        <f>1-1</f>
        <v>0</v>
      </c>
      <c r="D1098" s="68">
        <f t="shared" si="420"/>
        <v>0</v>
      </c>
      <c r="E1098" s="66">
        <f t="shared" si="421"/>
        <v>0</v>
      </c>
      <c r="F1098" s="71"/>
      <c r="G1098" s="68"/>
      <c r="H1098" s="68">
        <f>0.5-0.5</f>
        <v>0</v>
      </c>
    </row>
    <row r="1099" spans="1:9" x14ac:dyDescent="0.25">
      <c r="A1099" s="61">
        <v>3</v>
      </c>
      <c r="B1099" s="288" t="s">
        <v>145</v>
      </c>
      <c r="C1099" s="68">
        <f>0.75-0.25</f>
        <v>0.5</v>
      </c>
      <c r="D1099" s="68">
        <f t="shared" si="420"/>
        <v>0.5</v>
      </c>
      <c r="E1099" s="66">
        <f t="shared" si="421"/>
        <v>0.5</v>
      </c>
      <c r="F1099" s="71"/>
      <c r="G1099" s="68"/>
      <c r="H1099" s="68"/>
    </row>
    <row r="1100" spans="1:9" x14ac:dyDescent="0.25">
      <c r="A1100" s="61">
        <v>4</v>
      </c>
      <c r="B1100" s="288" t="s">
        <v>56</v>
      </c>
      <c r="C1100" s="68">
        <v>0.5</v>
      </c>
      <c r="D1100" s="68">
        <f t="shared" si="420"/>
        <v>0.5</v>
      </c>
      <c r="E1100" s="66">
        <f t="shared" si="421"/>
        <v>0</v>
      </c>
      <c r="F1100" s="71">
        <v>0.5</v>
      </c>
      <c r="G1100" s="68"/>
      <c r="H1100" s="68"/>
    </row>
    <row r="1101" spans="1:9" x14ac:dyDescent="0.25">
      <c r="A1101" s="61">
        <v>5</v>
      </c>
      <c r="B1101" s="288" t="s">
        <v>147</v>
      </c>
      <c r="C1101" s="68">
        <v>0.75</v>
      </c>
      <c r="D1101" s="68">
        <f t="shared" si="420"/>
        <v>0.5</v>
      </c>
      <c r="E1101" s="66">
        <f t="shared" si="421"/>
        <v>0.5</v>
      </c>
      <c r="F1101" s="71"/>
      <c r="G1101" s="68">
        <v>0.25</v>
      </c>
      <c r="H1101" s="68"/>
    </row>
    <row r="1102" spans="1:9" x14ac:dyDescent="0.25">
      <c r="A1102" s="56">
        <v>6</v>
      </c>
      <c r="B1102" s="288" t="s">
        <v>53</v>
      </c>
      <c r="C1102" s="68">
        <v>1</v>
      </c>
      <c r="D1102" s="68">
        <f t="shared" si="420"/>
        <v>0.75</v>
      </c>
      <c r="E1102" s="66">
        <f t="shared" si="421"/>
        <v>0</v>
      </c>
      <c r="F1102" s="71">
        <v>0.75</v>
      </c>
      <c r="G1102" s="68">
        <v>0.25</v>
      </c>
      <c r="H1102" s="68"/>
    </row>
    <row r="1103" spans="1:9" x14ac:dyDescent="0.25">
      <c r="A1103" s="61">
        <v>7</v>
      </c>
      <c r="B1103" s="288" t="s">
        <v>210</v>
      </c>
      <c r="C1103" s="68">
        <f>5.75+0.25</f>
        <v>6</v>
      </c>
      <c r="D1103" s="68">
        <f t="shared" si="420"/>
        <v>2.25</v>
      </c>
      <c r="E1103" s="66">
        <f t="shared" si="421"/>
        <v>0</v>
      </c>
      <c r="F1103" s="71">
        <f>0.25+1+1</f>
        <v>2.25</v>
      </c>
      <c r="G1103" s="68">
        <f>2.75+0.25+0.25</f>
        <v>3.25</v>
      </c>
      <c r="H1103" s="68">
        <v>0.5</v>
      </c>
    </row>
    <row r="1104" spans="1:9" x14ac:dyDescent="0.25">
      <c r="A1104" s="61">
        <v>8</v>
      </c>
      <c r="B1104" s="288" t="s">
        <v>94</v>
      </c>
      <c r="C1104" s="68">
        <f>1+1</f>
        <v>2</v>
      </c>
      <c r="D1104" s="68">
        <f t="shared" si="420"/>
        <v>1.25</v>
      </c>
      <c r="E1104" s="66">
        <f t="shared" si="421"/>
        <v>0.25</v>
      </c>
      <c r="F1104" s="71">
        <v>1</v>
      </c>
      <c r="G1104" s="68">
        <v>0.75</v>
      </c>
      <c r="H1104" s="68"/>
    </row>
    <row r="1105" spans="1:9" x14ac:dyDescent="0.25">
      <c r="A1105" s="61">
        <v>9</v>
      </c>
      <c r="B1105" s="288" t="s">
        <v>44</v>
      </c>
      <c r="C1105" s="68">
        <v>1</v>
      </c>
      <c r="D1105" s="68">
        <f t="shared" si="420"/>
        <v>0.75</v>
      </c>
      <c r="E1105" s="66">
        <f t="shared" si="421"/>
        <v>0</v>
      </c>
      <c r="F1105" s="71">
        <v>0.75</v>
      </c>
      <c r="G1105" s="68">
        <v>0.25</v>
      </c>
      <c r="H1105" s="68"/>
    </row>
    <row r="1106" spans="1:9" x14ac:dyDescent="0.25">
      <c r="A1106" s="61">
        <v>10</v>
      </c>
      <c r="B1106" s="288" t="s">
        <v>45</v>
      </c>
      <c r="C1106" s="68">
        <f>10-0.5-3</f>
        <v>6.5</v>
      </c>
      <c r="D1106" s="68">
        <f t="shared" si="420"/>
        <v>3.25</v>
      </c>
      <c r="E1106" s="66">
        <f t="shared" si="421"/>
        <v>0</v>
      </c>
      <c r="F1106" s="71">
        <f>0.75+0.25+0.25+1+1</f>
        <v>3.25</v>
      </c>
      <c r="G1106" s="68">
        <f>3.5-1.5+0.25+0.25</f>
        <v>2.5</v>
      </c>
      <c r="H1106" s="68">
        <f>1-0.25</f>
        <v>0.75</v>
      </c>
    </row>
    <row r="1107" spans="1:9" x14ac:dyDescent="0.25">
      <c r="A1107" s="61"/>
      <c r="B1107" s="72" t="s">
        <v>57</v>
      </c>
      <c r="C1107" s="73">
        <f t="shared" ref="C1107:H1107" si="422">SUM(C1096:C1106)</f>
        <v>22</v>
      </c>
      <c r="D1107" s="73">
        <f t="shared" si="422"/>
        <v>11.25</v>
      </c>
      <c r="E1107" s="73">
        <f t="shared" si="422"/>
        <v>2</v>
      </c>
      <c r="F1107" s="74">
        <f t="shared" si="422"/>
        <v>9.25</v>
      </c>
      <c r="G1107" s="73">
        <f t="shared" si="422"/>
        <v>9</v>
      </c>
      <c r="H1107" s="73">
        <f t="shared" si="422"/>
        <v>1.75</v>
      </c>
    </row>
    <row r="1108" spans="1:9" x14ac:dyDescent="0.25">
      <c r="A1108" s="61"/>
      <c r="B1108" s="72"/>
      <c r="C1108" s="83">
        <f t="shared" ref="C1108:H1108" si="423">SUM(C1109:C1111)</f>
        <v>22</v>
      </c>
      <c r="D1108" s="83">
        <f t="shared" si="423"/>
        <v>11.25</v>
      </c>
      <c r="E1108" s="83">
        <f t="shared" si="423"/>
        <v>2</v>
      </c>
      <c r="F1108" s="84">
        <f t="shared" si="423"/>
        <v>9.25</v>
      </c>
      <c r="G1108" s="83">
        <f t="shared" si="423"/>
        <v>9</v>
      </c>
      <c r="H1108" s="83">
        <f t="shared" si="423"/>
        <v>1.75</v>
      </c>
    </row>
    <row r="1109" spans="1:9" x14ac:dyDescent="0.25">
      <c r="A1109" s="61"/>
      <c r="B1109" s="82" t="s">
        <v>211</v>
      </c>
      <c r="C1109" s="73">
        <f t="shared" ref="C1109:H1109" si="424">SUM(C1096:C1101)</f>
        <v>5.5</v>
      </c>
      <c r="D1109" s="73">
        <f t="shared" si="424"/>
        <v>3</v>
      </c>
      <c r="E1109" s="73">
        <f t="shared" si="424"/>
        <v>1.75</v>
      </c>
      <c r="F1109" s="74">
        <f t="shared" si="424"/>
        <v>1.25</v>
      </c>
      <c r="G1109" s="73">
        <f t="shared" si="424"/>
        <v>2</v>
      </c>
      <c r="H1109" s="73">
        <f t="shared" si="424"/>
        <v>0.5</v>
      </c>
    </row>
    <row r="1110" spans="1:9" x14ac:dyDescent="0.25">
      <c r="A1110" s="61"/>
      <c r="B1110" s="82" t="s">
        <v>583</v>
      </c>
      <c r="C1110" s="73">
        <f t="shared" ref="C1110:H1110" si="425">SUM(C1102:C1104)</f>
        <v>9</v>
      </c>
      <c r="D1110" s="73">
        <f t="shared" si="425"/>
        <v>4.25</v>
      </c>
      <c r="E1110" s="73">
        <f t="shared" si="425"/>
        <v>0.25</v>
      </c>
      <c r="F1110" s="74">
        <f t="shared" si="425"/>
        <v>4</v>
      </c>
      <c r="G1110" s="73">
        <f t="shared" si="425"/>
        <v>4.25</v>
      </c>
      <c r="H1110" s="73">
        <f t="shared" si="425"/>
        <v>0.5</v>
      </c>
    </row>
    <row r="1111" spans="1:9" x14ac:dyDescent="0.25">
      <c r="A1111" s="61"/>
      <c r="B1111" s="82" t="s">
        <v>179</v>
      </c>
      <c r="C1111" s="73">
        <f t="shared" ref="C1111:H1111" si="426">SUM(C1105:C1106)</f>
        <v>7.5</v>
      </c>
      <c r="D1111" s="73">
        <f t="shared" si="426"/>
        <v>4</v>
      </c>
      <c r="E1111" s="73">
        <f t="shared" si="426"/>
        <v>0</v>
      </c>
      <c r="F1111" s="74">
        <f t="shared" si="426"/>
        <v>4</v>
      </c>
      <c r="G1111" s="73">
        <f t="shared" si="426"/>
        <v>2.75</v>
      </c>
      <c r="H1111" s="73">
        <f t="shared" si="426"/>
        <v>0.75</v>
      </c>
    </row>
    <row r="1112" spans="1:9" x14ac:dyDescent="0.25">
      <c r="A1112" s="61"/>
      <c r="B1112" s="82"/>
      <c r="C1112" s="73"/>
      <c r="D1112" s="73"/>
      <c r="E1112" s="73"/>
      <c r="F1112" s="74"/>
      <c r="G1112" s="73"/>
      <c r="H1112" s="73"/>
    </row>
    <row r="1113" spans="1:9" x14ac:dyDescent="0.25">
      <c r="A1113" s="61"/>
      <c r="B1113" s="289" t="s">
        <v>610</v>
      </c>
      <c r="C1113" s="73"/>
      <c r="D1113" s="73"/>
      <c r="E1113" s="73"/>
      <c r="F1113" s="74"/>
      <c r="G1113" s="60"/>
      <c r="H1113" s="61"/>
    </row>
    <row r="1114" spans="1:9" x14ac:dyDescent="0.25">
      <c r="A1114" s="61"/>
      <c r="B1114" s="289" t="s">
        <v>611</v>
      </c>
      <c r="C1114" s="73"/>
      <c r="D1114" s="73"/>
      <c r="E1114" s="73"/>
      <c r="F1114" s="74"/>
      <c r="G1114" s="60"/>
      <c r="H1114" s="61"/>
    </row>
    <row r="1115" spans="1:9" ht="26.25" x14ac:dyDescent="0.25">
      <c r="A1115" s="61">
        <v>1</v>
      </c>
      <c r="B1115" s="273" t="s">
        <v>301</v>
      </c>
      <c r="C1115" s="68">
        <f>0.5+0.5-0.5+0.5-0.25</f>
        <v>0.75</v>
      </c>
      <c r="D1115" s="68">
        <f t="shared" ref="D1115:D1123" si="427">C1115-G1115-H1115</f>
        <v>0.5</v>
      </c>
      <c r="E1115" s="66">
        <f t="shared" ref="E1115:E1123" si="428">D1115-F1115</f>
        <v>0</v>
      </c>
      <c r="F1115" s="71">
        <v>0.5</v>
      </c>
      <c r="G1115" s="60">
        <v>0.25</v>
      </c>
      <c r="H1115" s="68"/>
    </row>
    <row r="1116" spans="1:9" x14ac:dyDescent="0.25">
      <c r="A1116" s="61">
        <v>2</v>
      </c>
      <c r="B1116" s="288" t="s">
        <v>302</v>
      </c>
      <c r="C1116" s="68">
        <f>0.5+0.5+1+0.5-0.5+0.25+1</f>
        <v>3.25</v>
      </c>
      <c r="D1116" s="68">
        <f t="shared" si="427"/>
        <v>1</v>
      </c>
      <c r="E1116" s="66">
        <f t="shared" si="428"/>
        <v>0</v>
      </c>
      <c r="F1116" s="71">
        <f>0.25+0.75</f>
        <v>1</v>
      </c>
      <c r="G1116" s="68">
        <f>1.25+0.25+0.25+0.25+0.25</f>
        <v>2.25</v>
      </c>
      <c r="H1116" s="68">
        <f>0.25-0.25</f>
        <v>0</v>
      </c>
    </row>
    <row r="1117" spans="1:9" x14ac:dyDescent="0.25">
      <c r="A1117" s="61">
        <v>3</v>
      </c>
      <c r="B1117" s="288" t="s">
        <v>303</v>
      </c>
      <c r="C1117" s="68">
        <v>1</v>
      </c>
      <c r="D1117" s="68">
        <f t="shared" si="427"/>
        <v>0</v>
      </c>
      <c r="E1117" s="66">
        <f t="shared" si="428"/>
        <v>0</v>
      </c>
      <c r="F1117" s="71"/>
      <c r="G1117" s="68">
        <v>0.25</v>
      </c>
      <c r="H1117" s="68">
        <f>1-0.25</f>
        <v>0.75</v>
      </c>
      <c r="I1117" s="3">
        <f>SUM(D1117:H1117)</f>
        <v>1</v>
      </c>
    </row>
    <row r="1118" spans="1:9" x14ac:dyDescent="0.25">
      <c r="A1118" s="56">
        <v>4</v>
      </c>
      <c r="B1118" s="288" t="s">
        <v>53</v>
      </c>
      <c r="C1118" s="68">
        <f>1-0.5</f>
        <v>0.5</v>
      </c>
      <c r="D1118" s="68">
        <f t="shared" si="427"/>
        <v>0.25</v>
      </c>
      <c r="E1118" s="66">
        <f t="shared" si="428"/>
        <v>0</v>
      </c>
      <c r="F1118" s="71">
        <v>0.25</v>
      </c>
      <c r="G1118" s="68">
        <v>0.25</v>
      </c>
      <c r="H1118" s="68"/>
    </row>
    <row r="1119" spans="1:9" x14ac:dyDescent="0.25">
      <c r="A1119" s="61">
        <v>5</v>
      </c>
      <c r="B1119" s="288" t="s">
        <v>210</v>
      </c>
      <c r="C1119" s="68">
        <v>4.75</v>
      </c>
      <c r="D1119" s="68">
        <f t="shared" si="427"/>
        <v>1.5</v>
      </c>
      <c r="E1119" s="66">
        <f t="shared" si="428"/>
        <v>0</v>
      </c>
      <c r="F1119" s="71">
        <f>0.5+0.5+0.5</f>
        <v>1.5</v>
      </c>
      <c r="G1119" s="68">
        <f>1.5+0.75+1</f>
        <v>3.25</v>
      </c>
      <c r="H1119" s="68"/>
    </row>
    <row r="1120" spans="1:9" x14ac:dyDescent="0.25">
      <c r="A1120" s="61">
        <v>6</v>
      </c>
      <c r="B1120" s="288" t="s">
        <v>94</v>
      </c>
      <c r="C1120" s="68">
        <f>1-0.5</f>
        <v>0.5</v>
      </c>
      <c r="D1120" s="68">
        <f t="shared" si="427"/>
        <v>0.25</v>
      </c>
      <c r="E1120" s="66">
        <f t="shared" si="428"/>
        <v>0</v>
      </c>
      <c r="F1120" s="71">
        <f>0.25</f>
        <v>0.25</v>
      </c>
      <c r="G1120" s="68">
        <v>0.25</v>
      </c>
      <c r="H1120" s="68"/>
    </row>
    <row r="1121" spans="1:9" x14ac:dyDescent="0.25">
      <c r="A1121" s="61">
        <v>7</v>
      </c>
      <c r="B1121" s="288" t="s">
        <v>213</v>
      </c>
      <c r="C1121" s="68">
        <f>0.5+0.5-0.5+0.5</f>
        <v>1</v>
      </c>
      <c r="D1121" s="68">
        <f t="shared" si="427"/>
        <v>0.75</v>
      </c>
      <c r="E1121" s="66">
        <f t="shared" si="428"/>
        <v>0</v>
      </c>
      <c r="F1121" s="71">
        <v>0.75</v>
      </c>
      <c r="G1121" s="68">
        <v>0.25</v>
      </c>
      <c r="H1121" s="68"/>
    </row>
    <row r="1122" spans="1:9" x14ac:dyDescent="0.25">
      <c r="A1122" s="61">
        <v>8</v>
      </c>
      <c r="B1122" s="288" t="s">
        <v>44</v>
      </c>
      <c r="C1122" s="68">
        <f>1-0.5</f>
        <v>0.5</v>
      </c>
      <c r="D1122" s="68">
        <f t="shared" si="427"/>
        <v>0.25</v>
      </c>
      <c r="E1122" s="66">
        <f t="shared" si="428"/>
        <v>0</v>
      </c>
      <c r="F1122" s="71">
        <v>0.25</v>
      </c>
      <c r="G1122" s="68">
        <v>0.25</v>
      </c>
      <c r="H1122" s="68"/>
    </row>
    <row r="1123" spans="1:9" x14ac:dyDescent="0.25">
      <c r="A1123" s="61">
        <v>9</v>
      </c>
      <c r="B1123" s="288" t="s">
        <v>45</v>
      </c>
      <c r="C1123" s="68">
        <f>2.5+0.5-2.5+3.5+0.5</f>
        <v>4.5</v>
      </c>
      <c r="D1123" s="68">
        <f t="shared" si="427"/>
        <v>1.5</v>
      </c>
      <c r="E1123" s="66">
        <f t="shared" si="428"/>
        <v>0</v>
      </c>
      <c r="F1123" s="71">
        <f>0.5+0.75+0.25</f>
        <v>1.5</v>
      </c>
      <c r="G1123" s="68">
        <f>2.75+0.25</f>
        <v>3</v>
      </c>
      <c r="H1123" s="68"/>
    </row>
    <row r="1124" spans="1:9" x14ac:dyDescent="0.25">
      <c r="A1124" s="61"/>
      <c r="B1124" s="72" t="s">
        <v>57</v>
      </c>
      <c r="C1124" s="73">
        <f t="shared" ref="C1124:H1124" si="429">SUM(C1115:C1123)</f>
        <v>16.75</v>
      </c>
      <c r="D1124" s="73">
        <f t="shared" si="429"/>
        <v>6</v>
      </c>
      <c r="E1124" s="73">
        <f t="shared" si="429"/>
        <v>0</v>
      </c>
      <c r="F1124" s="74">
        <f t="shared" si="429"/>
        <v>6</v>
      </c>
      <c r="G1124" s="73">
        <f t="shared" si="429"/>
        <v>10</v>
      </c>
      <c r="H1124" s="73">
        <f t="shared" si="429"/>
        <v>0.75</v>
      </c>
      <c r="I1124" s="3">
        <f>SUM(D1124:H1124)</f>
        <v>22.75</v>
      </c>
    </row>
    <row r="1125" spans="1:9" x14ac:dyDescent="0.25">
      <c r="A1125" s="61"/>
      <c r="B1125" s="72"/>
      <c r="C1125" s="83">
        <f t="shared" ref="C1125:H1125" si="430">SUM(C1126:C1128)</f>
        <v>16.75</v>
      </c>
      <c r="D1125" s="83">
        <f t="shared" si="430"/>
        <v>6</v>
      </c>
      <c r="E1125" s="83">
        <f t="shared" si="430"/>
        <v>0</v>
      </c>
      <c r="F1125" s="84">
        <f t="shared" si="430"/>
        <v>6</v>
      </c>
      <c r="G1125" s="83">
        <f t="shared" si="430"/>
        <v>10</v>
      </c>
      <c r="H1125" s="83">
        <f t="shared" si="430"/>
        <v>0.75</v>
      </c>
      <c r="I1125" s="3">
        <f>SUM(D1125:H1125)</f>
        <v>22.75</v>
      </c>
    </row>
    <row r="1126" spans="1:9" x14ac:dyDescent="0.25">
      <c r="A1126" s="61"/>
      <c r="B1126" s="82" t="s">
        <v>211</v>
      </c>
      <c r="C1126" s="73">
        <f t="shared" ref="C1126:H1126" si="431">SUM(C1115:C1117)</f>
        <v>5</v>
      </c>
      <c r="D1126" s="73">
        <f t="shared" si="431"/>
        <v>1.5</v>
      </c>
      <c r="E1126" s="73">
        <f t="shared" si="431"/>
        <v>0</v>
      </c>
      <c r="F1126" s="74">
        <f t="shared" si="431"/>
        <v>1.5</v>
      </c>
      <c r="G1126" s="73">
        <f t="shared" si="431"/>
        <v>2.75</v>
      </c>
      <c r="H1126" s="73">
        <f t="shared" si="431"/>
        <v>0.75</v>
      </c>
      <c r="I1126" s="3">
        <f>SUM(D1126:H1126)</f>
        <v>6.5</v>
      </c>
    </row>
    <row r="1127" spans="1:9" x14ac:dyDescent="0.25">
      <c r="A1127" s="61"/>
      <c r="B1127" s="82" t="s">
        <v>583</v>
      </c>
      <c r="C1127" s="73">
        <f t="shared" ref="C1127:H1127" si="432">SUM(C1118:C1121)</f>
        <v>6.75</v>
      </c>
      <c r="D1127" s="73">
        <f t="shared" si="432"/>
        <v>2.75</v>
      </c>
      <c r="E1127" s="73">
        <f t="shared" si="432"/>
        <v>0</v>
      </c>
      <c r="F1127" s="74">
        <f t="shared" si="432"/>
        <v>2.75</v>
      </c>
      <c r="G1127" s="73">
        <f t="shared" si="432"/>
        <v>4</v>
      </c>
      <c r="H1127" s="73">
        <f t="shared" si="432"/>
        <v>0</v>
      </c>
      <c r="I1127" s="3">
        <f>SUM(D1127:H1127)</f>
        <v>9.5</v>
      </c>
    </row>
    <row r="1128" spans="1:9" x14ac:dyDescent="0.25">
      <c r="A1128" s="61"/>
      <c r="B1128" s="82" t="s">
        <v>179</v>
      </c>
      <c r="C1128" s="73">
        <f t="shared" ref="C1128:H1128" si="433">SUM(C1122:C1123)</f>
        <v>5</v>
      </c>
      <c r="D1128" s="73">
        <f t="shared" si="433"/>
        <v>1.75</v>
      </c>
      <c r="E1128" s="73">
        <f t="shared" si="433"/>
        <v>0</v>
      </c>
      <c r="F1128" s="74">
        <f t="shared" si="433"/>
        <v>1.75</v>
      </c>
      <c r="G1128" s="73">
        <f t="shared" si="433"/>
        <v>3.25</v>
      </c>
      <c r="H1128" s="73">
        <f t="shared" si="433"/>
        <v>0</v>
      </c>
      <c r="I1128" s="3">
        <f>SUM(D1128:H1128)</f>
        <v>6.75</v>
      </c>
    </row>
    <row r="1129" spans="1:9" x14ac:dyDescent="0.25">
      <c r="A1129" s="61"/>
      <c r="B1129" s="90" t="s">
        <v>612</v>
      </c>
      <c r="C1129" s="68"/>
      <c r="D1129" s="68"/>
      <c r="E1129" s="68"/>
      <c r="F1129" s="71"/>
      <c r="G1129" s="60"/>
      <c r="H1129" s="61"/>
    </row>
    <row r="1130" spans="1:9" x14ac:dyDescent="0.25">
      <c r="A1130" s="61"/>
      <c r="B1130" s="161" t="s">
        <v>613</v>
      </c>
      <c r="C1130" s="68"/>
      <c r="D1130" s="68"/>
      <c r="E1130" s="68"/>
      <c r="F1130" s="71"/>
      <c r="G1130" s="60"/>
      <c r="H1130" s="61"/>
    </row>
    <row r="1131" spans="1:9" x14ac:dyDescent="0.25">
      <c r="A1131" s="61">
        <v>1</v>
      </c>
      <c r="B1131" s="288" t="s">
        <v>304</v>
      </c>
      <c r="C1131" s="68">
        <f>0.5+0.5</f>
        <v>1</v>
      </c>
      <c r="D1131" s="68">
        <f t="shared" ref="D1131:D1139" si="434">C1131-G1131-H1131</f>
        <v>0.75</v>
      </c>
      <c r="E1131" s="66">
        <f t="shared" ref="E1131:E1139" si="435">D1131-F1131</f>
        <v>0</v>
      </c>
      <c r="F1131" s="71">
        <v>0.75</v>
      </c>
      <c r="G1131" s="60">
        <v>0.25</v>
      </c>
      <c r="H1131" s="68"/>
    </row>
    <row r="1132" spans="1:9" x14ac:dyDescent="0.25">
      <c r="A1132" s="61">
        <v>2</v>
      </c>
      <c r="B1132" s="288" t="s">
        <v>83</v>
      </c>
      <c r="C1132" s="68">
        <f>3.75-1-0.25+0.5</f>
        <v>3</v>
      </c>
      <c r="D1132" s="68">
        <f t="shared" si="434"/>
        <v>0.5</v>
      </c>
      <c r="E1132" s="66">
        <f t="shared" si="435"/>
        <v>0</v>
      </c>
      <c r="F1132" s="71">
        <v>0.5</v>
      </c>
      <c r="G1132" s="68">
        <f>1.5+0.5+0.5</f>
        <v>2.5</v>
      </c>
      <c r="H1132" s="68"/>
    </row>
    <row r="1133" spans="1:9" x14ac:dyDescent="0.25">
      <c r="A1133" s="61">
        <v>3</v>
      </c>
      <c r="B1133" s="288" t="s">
        <v>66</v>
      </c>
      <c r="C1133" s="68">
        <f>1-0.5+0.25+0.25-0.5-0.5+3.5</f>
        <v>3.5</v>
      </c>
      <c r="D1133" s="68">
        <f t="shared" si="434"/>
        <v>0</v>
      </c>
      <c r="E1133" s="66">
        <f t="shared" si="435"/>
        <v>0</v>
      </c>
      <c r="F1133" s="71"/>
      <c r="G1133" s="61">
        <v>2.75</v>
      </c>
      <c r="H1133" s="68">
        <v>0.75</v>
      </c>
    </row>
    <row r="1134" spans="1:9" x14ac:dyDescent="0.25">
      <c r="A1134" s="61">
        <v>4</v>
      </c>
      <c r="B1134" s="288" t="s">
        <v>53</v>
      </c>
      <c r="C1134" s="68">
        <f>1+0.25</f>
        <v>1.25</v>
      </c>
      <c r="D1134" s="68">
        <f t="shared" si="434"/>
        <v>1</v>
      </c>
      <c r="E1134" s="66">
        <f t="shared" si="435"/>
        <v>0</v>
      </c>
      <c r="F1134" s="71">
        <v>1</v>
      </c>
      <c r="G1134" s="61">
        <v>0.25</v>
      </c>
      <c r="H1134" s="68"/>
    </row>
    <row r="1135" spans="1:9" x14ac:dyDescent="0.25">
      <c r="A1135" s="61">
        <v>5</v>
      </c>
      <c r="B1135" s="288" t="s">
        <v>210</v>
      </c>
      <c r="C1135" s="68">
        <f>5.25-0.5+1+0.25</f>
        <v>6</v>
      </c>
      <c r="D1135" s="68">
        <f t="shared" si="434"/>
        <v>3</v>
      </c>
      <c r="E1135" s="66">
        <f t="shared" si="435"/>
        <v>0</v>
      </c>
      <c r="F1135" s="71">
        <f>0.75+0.25+1+1</f>
        <v>3</v>
      </c>
      <c r="G1135" s="68">
        <f>1.5+0.25+0.25</f>
        <v>2</v>
      </c>
      <c r="H1135" s="68">
        <v>1</v>
      </c>
    </row>
    <row r="1136" spans="1:9" x14ac:dyDescent="0.25">
      <c r="A1136" s="61">
        <v>6</v>
      </c>
      <c r="B1136" s="288" t="s">
        <v>213</v>
      </c>
      <c r="C1136" s="68">
        <f>1+0.25</f>
        <v>1.25</v>
      </c>
      <c r="D1136" s="68">
        <f t="shared" si="434"/>
        <v>0.75</v>
      </c>
      <c r="E1136" s="66">
        <f t="shared" si="435"/>
        <v>0</v>
      </c>
      <c r="F1136" s="71">
        <v>0.75</v>
      </c>
      <c r="G1136" s="68">
        <f>0.25+0.25</f>
        <v>0.5</v>
      </c>
      <c r="H1136" s="68"/>
    </row>
    <row r="1137" spans="1:8" x14ac:dyDescent="0.25">
      <c r="A1137" s="61">
        <v>7</v>
      </c>
      <c r="B1137" s="288" t="s">
        <v>94</v>
      </c>
      <c r="C1137" s="68">
        <f>1+0.25</f>
        <v>1.25</v>
      </c>
      <c r="D1137" s="68">
        <f t="shared" si="434"/>
        <v>0.75</v>
      </c>
      <c r="E1137" s="66">
        <f t="shared" si="435"/>
        <v>0</v>
      </c>
      <c r="F1137" s="71">
        <v>0.75</v>
      </c>
      <c r="G1137" s="68">
        <f>0.25+0.25</f>
        <v>0.5</v>
      </c>
      <c r="H1137" s="68"/>
    </row>
    <row r="1138" spans="1:8" x14ac:dyDescent="0.25">
      <c r="A1138" s="61">
        <v>8</v>
      </c>
      <c r="B1138" s="288" t="s">
        <v>44</v>
      </c>
      <c r="C1138" s="68">
        <f>1+0.25</f>
        <v>1.25</v>
      </c>
      <c r="D1138" s="68">
        <f t="shared" si="434"/>
        <v>0.75</v>
      </c>
      <c r="E1138" s="66">
        <f t="shared" si="435"/>
        <v>0</v>
      </c>
      <c r="F1138" s="71">
        <v>0.75</v>
      </c>
      <c r="G1138" s="68">
        <f>0.25+0.25</f>
        <v>0.5</v>
      </c>
      <c r="H1138" s="68"/>
    </row>
    <row r="1139" spans="1:8" x14ac:dyDescent="0.25">
      <c r="A1139" s="61">
        <v>9</v>
      </c>
      <c r="B1139" s="288" t="s">
        <v>45</v>
      </c>
      <c r="C1139" s="68">
        <f>7.75-2</f>
        <v>5.75</v>
      </c>
      <c r="D1139" s="68">
        <f t="shared" si="434"/>
        <v>3</v>
      </c>
      <c r="E1139" s="66">
        <f t="shared" si="435"/>
        <v>0</v>
      </c>
      <c r="F1139" s="71">
        <f>1+1+0.25+0.75</f>
        <v>3</v>
      </c>
      <c r="G1139" s="68">
        <f>2.5+0.25</f>
        <v>2.75</v>
      </c>
      <c r="H1139" s="68">
        <f>1-1</f>
        <v>0</v>
      </c>
    </row>
    <row r="1140" spans="1:8" x14ac:dyDescent="0.25">
      <c r="A1140" s="61"/>
      <c r="B1140" s="72" t="s">
        <v>57</v>
      </c>
      <c r="C1140" s="73">
        <f t="shared" ref="C1140:H1140" si="436">SUM(C1131:C1139)</f>
        <v>24.25</v>
      </c>
      <c r="D1140" s="73">
        <f t="shared" si="436"/>
        <v>10.5</v>
      </c>
      <c r="E1140" s="73">
        <f t="shared" si="436"/>
        <v>0</v>
      </c>
      <c r="F1140" s="74">
        <f t="shared" si="436"/>
        <v>10.5</v>
      </c>
      <c r="G1140" s="73">
        <f t="shared" si="436"/>
        <v>12</v>
      </c>
      <c r="H1140" s="73">
        <f t="shared" si="436"/>
        <v>1.75</v>
      </c>
    </row>
    <row r="1141" spans="1:8" x14ac:dyDescent="0.25">
      <c r="A1141" s="61"/>
      <c r="B1141" s="72"/>
      <c r="C1141" s="83">
        <f t="shared" ref="C1141:H1141" si="437">SUM(C1142:C1144)</f>
        <v>24.25</v>
      </c>
      <c r="D1141" s="83">
        <f t="shared" si="437"/>
        <v>10.5</v>
      </c>
      <c r="E1141" s="83">
        <f t="shared" si="437"/>
        <v>0</v>
      </c>
      <c r="F1141" s="84">
        <f t="shared" si="437"/>
        <v>10.5</v>
      </c>
      <c r="G1141" s="83">
        <f t="shared" si="437"/>
        <v>12</v>
      </c>
      <c r="H1141" s="83">
        <f t="shared" si="437"/>
        <v>1.75</v>
      </c>
    </row>
    <row r="1142" spans="1:8" x14ac:dyDescent="0.25">
      <c r="A1142" s="61"/>
      <c r="B1142" s="82" t="s">
        <v>211</v>
      </c>
      <c r="C1142" s="73">
        <f t="shared" ref="C1142:H1142" si="438">SUM(C1131:C1133)</f>
        <v>7.5</v>
      </c>
      <c r="D1142" s="73">
        <f t="shared" si="438"/>
        <v>1.25</v>
      </c>
      <c r="E1142" s="73">
        <f t="shared" si="438"/>
        <v>0</v>
      </c>
      <c r="F1142" s="74">
        <f t="shared" si="438"/>
        <v>1.25</v>
      </c>
      <c r="G1142" s="73">
        <f t="shared" si="438"/>
        <v>5.5</v>
      </c>
      <c r="H1142" s="73">
        <f t="shared" si="438"/>
        <v>0.75</v>
      </c>
    </row>
    <row r="1143" spans="1:8" x14ac:dyDescent="0.25">
      <c r="A1143" s="61"/>
      <c r="B1143" s="82" t="s">
        <v>583</v>
      </c>
      <c r="C1143" s="73">
        <f t="shared" ref="C1143:H1143" si="439">SUM(C1134:C1137)</f>
        <v>9.75</v>
      </c>
      <c r="D1143" s="73">
        <f t="shared" si="439"/>
        <v>5.5</v>
      </c>
      <c r="E1143" s="73">
        <f t="shared" si="439"/>
        <v>0</v>
      </c>
      <c r="F1143" s="74">
        <f t="shared" si="439"/>
        <v>5.5</v>
      </c>
      <c r="G1143" s="73">
        <f t="shared" si="439"/>
        <v>3.25</v>
      </c>
      <c r="H1143" s="73">
        <f t="shared" si="439"/>
        <v>1</v>
      </c>
    </row>
    <row r="1144" spans="1:8" x14ac:dyDescent="0.25">
      <c r="A1144" s="56"/>
      <c r="B1144" s="82" t="s">
        <v>179</v>
      </c>
      <c r="C1144" s="73">
        <f t="shared" ref="C1144:H1144" si="440">SUM(C1138:C1139)</f>
        <v>7</v>
      </c>
      <c r="D1144" s="73">
        <f t="shared" si="440"/>
        <v>3.75</v>
      </c>
      <c r="E1144" s="73">
        <f t="shared" si="440"/>
        <v>0</v>
      </c>
      <c r="F1144" s="74">
        <f t="shared" si="440"/>
        <v>3.75</v>
      </c>
      <c r="G1144" s="73">
        <f t="shared" si="440"/>
        <v>3.25</v>
      </c>
      <c r="H1144" s="73">
        <f t="shared" si="440"/>
        <v>0</v>
      </c>
    </row>
    <row r="1145" spans="1:8" x14ac:dyDescent="0.25">
      <c r="A1145" s="61"/>
      <c r="B1145" s="90" t="s">
        <v>151</v>
      </c>
      <c r="C1145" s="60"/>
      <c r="D1145" s="60"/>
      <c r="E1145" s="60"/>
      <c r="F1145" s="119"/>
      <c r="G1145" s="60"/>
      <c r="H1145" s="61"/>
    </row>
    <row r="1146" spans="1:8" x14ac:dyDescent="0.25">
      <c r="A1146" s="61"/>
      <c r="B1146" s="90" t="s">
        <v>514</v>
      </c>
      <c r="C1146" s="60"/>
      <c r="D1146" s="60"/>
      <c r="E1146" s="60"/>
      <c r="F1146" s="119"/>
      <c r="G1146" s="60"/>
      <c r="H1146" s="61"/>
    </row>
    <row r="1147" spans="1:8" ht="26.25" x14ac:dyDescent="0.25">
      <c r="A1147" s="290">
        <v>1</v>
      </c>
      <c r="B1147" s="273" t="s">
        <v>152</v>
      </c>
      <c r="C1147" s="68">
        <v>1</v>
      </c>
      <c r="D1147" s="68">
        <f t="shared" ref="D1147:D1154" si="441">C1147-G1147-H1147</f>
        <v>1</v>
      </c>
      <c r="E1147" s="66">
        <f t="shared" ref="E1147:E1154" si="442">D1147-F1147</f>
        <v>0</v>
      </c>
      <c r="F1147" s="71">
        <v>1</v>
      </c>
      <c r="G1147" s="60"/>
      <c r="H1147" s="68"/>
    </row>
    <row r="1148" spans="1:8" x14ac:dyDescent="0.25">
      <c r="A1148" s="290">
        <v>2</v>
      </c>
      <c r="B1148" s="273" t="s">
        <v>305</v>
      </c>
      <c r="C1148" s="68">
        <f>2.25-0.25+0.75</f>
        <v>2.75</v>
      </c>
      <c r="D1148" s="68">
        <f t="shared" si="441"/>
        <v>1.5</v>
      </c>
      <c r="E1148" s="66">
        <f t="shared" si="442"/>
        <v>0</v>
      </c>
      <c r="F1148" s="71">
        <f>1+0.25+0.25</f>
        <v>1.5</v>
      </c>
      <c r="G1148" s="60">
        <v>0.25</v>
      </c>
      <c r="H1148" s="68">
        <f>1.25-0.25</f>
        <v>1</v>
      </c>
    </row>
    <row r="1149" spans="1:8" x14ac:dyDescent="0.25">
      <c r="A1149" s="290">
        <v>3</v>
      </c>
      <c r="B1149" s="273" t="s">
        <v>53</v>
      </c>
      <c r="C1149" s="68">
        <v>1</v>
      </c>
      <c r="D1149" s="68">
        <f t="shared" si="441"/>
        <v>1</v>
      </c>
      <c r="E1149" s="66">
        <f t="shared" si="442"/>
        <v>0</v>
      </c>
      <c r="F1149" s="71">
        <v>1</v>
      </c>
      <c r="G1149" s="60"/>
      <c r="H1149" s="68"/>
    </row>
    <row r="1150" spans="1:8" x14ac:dyDescent="0.25">
      <c r="A1150" s="290">
        <v>4</v>
      </c>
      <c r="B1150" s="273" t="s">
        <v>210</v>
      </c>
      <c r="C1150" s="68">
        <f>5.25+0.5</f>
        <v>5.75</v>
      </c>
      <c r="D1150" s="68">
        <f t="shared" si="441"/>
        <v>4.75</v>
      </c>
      <c r="E1150" s="66">
        <f t="shared" si="442"/>
        <v>0</v>
      </c>
      <c r="F1150" s="71">
        <f>1+1+0.25+0.25+1+1.25</f>
        <v>4.75</v>
      </c>
      <c r="G1150" s="60"/>
      <c r="H1150" s="68">
        <v>1</v>
      </c>
    </row>
    <row r="1151" spans="1:8" x14ac:dyDescent="0.25">
      <c r="A1151" s="290">
        <v>5</v>
      </c>
      <c r="B1151" s="273" t="s">
        <v>94</v>
      </c>
      <c r="C1151" s="68">
        <f>1-0.5</f>
        <v>0.5</v>
      </c>
      <c r="D1151" s="68">
        <f t="shared" si="441"/>
        <v>0.5</v>
      </c>
      <c r="E1151" s="66">
        <f t="shared" si="442"/>
        <v>0</v>
      </c>
      <c r="F1151" s="71">
        <v>0.5</v>
      </c>
      <c r="G1151" s="60"/>
      <c r="H1151" s="68"/>
    </row>
    <row r="1152" spans="1:8" x14ac:dyDescent="0.25">
      <c r="A1152" s="291">
        <v>6</v>
      </c>
      <c r="B1152" s="273" t="s">
        <v>213</v>
      </c>
      <c r="C1152" s="68">
        <v>0.5</v>
      </c>
      <c r="D1152" s="68">
        <f t="shared" si="441"/>
        <v>0.5</v>
      </c>
      <c r="E1152" s="66">
        <f t="shared" si="442"/>
        <v>0</v>
      </c>
      <c r="F1152" s="71">
        <v>0.5</v>
      </c>
      <c r="G1152" s="60"/>
      <c r="H1152" s="68"/>
    </row>
    <row r="1153" spans="1:8" x14ac:dyDescent="0.25">
      <c r="A1153" s="61">
        <v>7</v>
      </c>
      <c r="B1153" s="273" t="s">
        <v>44</v>
      </c>
      <c r="C1153" s="68">
        <f>1-0.5</f>
        <v>0.5</v>
      </c>
      <c r="D1153" s="68">
        <f t="shared" si="441"/>
        <v>0.5</v>
      </c>
      <c r="E1153" s="66">
        <f t="shared" si="442"/>
        <v>0</v>
      </c>
      <c r="F1153" s="71">
        <v>0.5</v>
      </c>
      <c r="G1153" s="60"/>
      <c r="H1153" s="68"/>
    </row>
    <row r="1154" spans="1:8" x14ac:dyDescent="0.25">
      <c r="A1154" s="61">
        <v>8</v>
      </c>
      <c r="B1154" s="273" t="s">
        <v>45</v>
      </c>
      <c r="C1154" s="68">
        <f>7.5-2-1-1</f>
        <v>3.5</v>
      </c>
      <c r="D1154" s="68">
        <f t="shared" si="441"/>
        <v>1.5</v>
      </c>
      <c r="E1154" s="66">
        <f t="shared" si="442"/>
        <v>0</v>
      </c>
      <c r="F1154" s="71">
        <f>0.5+1</f>
        <v>1.5</v>
      </c>
      <c r="G1154" s="60">
        <v>0.25</v>
      </c>
      <c r="H1154" s="68">
        <f>2.5-0.5-0.25</f>
        <v>1.75</v>
      </c>
    </row>
    <row r="1155" spans="1:8" x14ac:dyDescent="0.25">
      <c r="A1155" s="292"/>
      <c r="B1155" s="293" t="s">
        <v>306</v>
      </c>
      <c r="C1155" s="73">
        <f t="shared" ref="C1155:H1155" si="443">SUM(C1147:C1154)</f>
        <v>15.5</v>
      </c>
      <c r="D1155" s="73">
        <f t="shared" si="443"/>
        <v>11.25</v>
      </c>
      <c r="E1155" s="73">
        <f t="shared" si="443"/>
        <v>0</v>
      </c>
      <c r="F1155" s="74">
        <f t="shared" si="443"/>
        <v>11.25</v>
      </c>
      <c r="G1155" s="73">
        <f t="shared" si="443"/>
        <v>0.5</v>
      </c>
      <c r="H1155" s="73">
        <f t="shared" si="443"/>
        <v>3.75</v>
      </c>
    </row>
    <row r="1156" spans="1:8" x14ac:dyDescent="0.25">
      <c r="A1156" s="292"/>
      <c r="B1156" s="293"/>
      <c r="C1156" s="83">
        <f t="shared" ref="C1156:H1156" si="444">SUM(C1157:C1159)</f>
        <v>15.5</v>
      </c>
      <c r="D1156" s="83">
        <f t="shared" si="444"/>
        <v>11.25</v>
      </c>
      <c r="E1156" s="83">
        <f t="shared" si="444"/>
        <v>0</v>
      </c>
      <c r="F1156" s="84">
        <f t="shared" si="444"/>
        <v>11.25</v>
      </c>
      <c r="G1156" s="83">
        <f t="shared" si="444"/>
        <v>0.5</v>
      </c>
      <c r="H1156" s="83">
        <f t="shared" si="444"/>
        <v>3.75</v>
      </c>
    </row>
    <row r="1157" spans="1:8" x14ac:dyDescent="0.25">
      <c r="A1157" s="292"/>
      <c r="B1157" s="254" t="s">
        <v>307</v>
      </c>
      <c r="C1157" s="73">
        <f t="shared" ref="C1157:H1157" si="445">SUM(C1147:C1148)</f>
        <v>3.75</v>
      </c>
      <c r="D1157" s="73">
        <f t="shared" si="445"/>
        <v>2.5</v>
      </c>
      <c r="E1157" s="73">
        <f t="shared" si="445"/>
        <v>0</v>
      </c>
      <c r="F1157" s="74">
        <f t="shared" si="445"/>
        <v>2.5</v>
      </c>
      <c r="G1157" s="73">
        <f t="shared" si="445"/>
        <v>0.25</v>
      </c>
      <c r="H1157" s="73">
        <f t="shared" si="445"/>
        <v>1</v>
      </c>
    </row>
    <row r="1158" spans="1:8" x14ac:dyDescent="0.25">
      <c r="A1158" s="292"/>
      <c r="B1158" s="82" t="s">
        <v>583</v>
      </c>
      <c r="C1158" s="73">
        <f t="shared" ref="C1158:H1158" si="446">SUM(C1149:C1152)</f>
        <v>7.75</v>
      </c>
      <c r="D1158" s="73">
        <f t="shared" si="446"/>
        <v>6.75</v>
      </c>
      <c r="E1158" s="73">
        <f t="shared" si="446"/>
        <v>0</v>
      </c>
      <c r="F1158" s="74">
        <f t="shared" si="446"/>
        <v>6.75</v>
      </c>
      <c r="G1158" s="73">
        <f t="shared" si="446"/>
        <v>0</v>
      </c>
      <c r="H1158" s="73">
        <f t="shared" si="446"/>
        <v>1</v>
      </c>
    </row>
    <row r="1159" spans="1:8" x14ac:dyDescent="0.25">
      <c r="A1159" s="292"/>
      <c r="B1159" s="82" t="s">
        <v>179</v>
      </c>
      <c r="C1159" s="73">
        <f t="shared" ref="C1159:H1159" si="447">SUM(C1153:C1154)</f>
        <v>4</v>
      </c>
      <c r="D1159" s="73">
        <f t="shared" si="447"/>
        <v>2</v>
      </c>
      <c r="E1159" s="73">
        <f t="shared" si="447"/>
        <v>0</v>
      </c>
      <c r="F1159" s="74">
        <f t="shared" si="447"/>
        <v>2</v>
      </c>
      <c r="G1159" s="73">
        <f t="shared" si="447"/>
        <v>0.25</v>
      </c>
      <c r="H1159" s="73">
        <f t="shared" si="447"/>
        <v>1.75</v>
      </c>
    </row>
    <row r="1160" spans="1:8" x14ac:dyDescent="0.25">
      <c r="A1160" s="61"/>
      <c r="B1160" s="90" t="s">
        <v>507</v>
      </c>
      <c r="C1160" s="68"/>
      <c r="D1160" s="68"/>
      <c r="E1160" s="68"/>
      <c r="F1160" s="71"/>
      <c r="G1160" s="60"/>
      <c r="H1160" s="61"/>
    </row>
    <row r="1161" spans="1:8" x14ac:dyDescent="0.25">
      <c r="A1161" s="61"/>
      <c r="B1161" s="161" t="s">
        <v>515</v>
      </c>
      <c r="C1161" s="68"/>
      <c r="D1161" s="68"/>
      <c r="E1161" s="68"/>
      <c r="F1161" s="71"/>
      <c r="G1161" s="60"/>
      <c r="H1161" s="61"/>
    </row>
    <row r="1162" spans="1:8" x14ac:dyDescent="0.25">
      <c r="A1162" s="61" t="s">
        <v>61</v>
      </c>
      <c r="B1162" s="126" t="s">
        <v>308</v>
      </c>
      <c r="C1162" s="68">
        <v>1</v>
      </c>
      <c r="D1162" s="68">
        <f t="shared" ref="D1162:D1169" si="448">C1162-G1162-H1162</f>
        <v>0.75</v>
      </c>
      <c r="E1162" s="66">
        <f t="shared" ref="E1162:E1169" si="449">D1162-F1162</f>
        <v>0</v>
      </c>
      <c r="F1162" s="71">
        <v>0.75</v>
      </c>
      <c r="G1162" s="61">
        <v>0.25</v>
      </c>
      <c r="H1162" s="68"/>
    </row>
    <row r="1163" spans="1:8" x14ac:dyDescent="0.25">
      <c r="A1163" s="61" t="s">
        <v>63</v>
      </c>
      <c r="B1163" s="76" t="s">
        <v>223</v>
      </c>
      <c r="C1163" s="68">
        <v>3</v>
      </c>
      <c r="D1163" s="68">
        <f t="shared" si="448"/>
        <v>0.75</v>
      </c>
      <c r="E1163" s="66">
        <f t="shared" si="449"/>
        <v>0</v>
      </c>
      <c r="F1163" s="71">
        <v>0.75</v>
      </c>
      <c r="G1163" s="68">
        <f>1+0.25+0.25</f>
        <v>1.5</v>
      </c>
      <c r="H1163" s="68">
        <f>1-0.25</f>
        <v>0.75</v>
      </c>
    </row>
    <row r="1164" spans="1:8" x14ac:dyDescent="0.25">
      <c r="A1164" s="61">
        <v>3</v>
      </c>
      <c r="B1164" s="76" t="s">
        <v>53</v>
      </c>
      <c r="C1164" s="68">
        <v>1</v>
      </c>
      <c r="D1164" s="68">
        <f t="shared" si="448"/>
        <v>1</v>
      </c>
      <c r="E1164" s="66">
        <f t="shared" si="449"/>
        <v>0</v>
      </c>
      <c r="F1164" s="71">
        <v>1</v>
      </c>
      <c r="G1164" s="61"/>
      <c r="H1164" s="68"/>
    </row>
    <row r="1165" spans="1:8" x14ac:dyDescent="0.25">
      <c r="A1165" s="61">
        <v>4</v>
      </c>
      <c r="B1165" s="76" t="s">
        <v>210</v>
      </c>
      <c r="C1165" s="68">
        <v>6.5</v>
      </c>
      <c r="D1165" s="68">
        <f t="shared" si="448"/>
        <v>2.25</v>
      </c>
      <c r="E1165" s="66">
        <f t="shared" si="449"/>
        <v>0</v>
      </c>
      <c r="F1165" s="71">
        <f>1+0.25+1</f>
        <v>2.25</v>
      </c>
      <c r="G1165" s="68">
        <f>3.25+0.25</f>
        <v>3.5</v>
      </c>
      <c r="H1165" s="68">
        <f>1-0.25</f>
        <v>0.75</v>
      </c>
    </row>
    <row r="1166" spans="1:8" x14ac:dyDescent="0.25">
      <c r="A1166" s="61">
        <v>5</v>
      </c>
      <c r="B1166" s="76" t="s">
        <v>213</v>
      </c>
      <c r="C1166" s="68">
        <v>1</v>
      </c>
      <c r="D1166" s="68">
        <f t="shared" si="448"/>
        <v>0.75</v>
      </c>
      <c r="E1166" s="66">
        <f t="shared" si="449"/>
        <v>0</v>
      </c>
      <c r="F1166" s="71">
        <v>0.75</v>
      </c>
      <c r="G1166" s="61">
        <v>0.25</v>
      </c>
      <c r="H1166" s="68"/>
    </row>
    <row r="1167" spans="1:8" x14ac:dyDescent="0.25">
      <c r="A1167" s="61">
        <v>6</v>
      </c>
      <c r="B1167" s="76" t="s">
        <v>94</v>
      </c>
      <c r="C1167" s="68">
        <v>1</v>
      </c>
      <c r="D1167" s="68">
        <f t="shared" si="448"/>
        <v>0.75</v>
      </c>
      <c r="E1167" s="66">
        <f t="shared" si="449"/>
        <v>0</v>
      </c>
      <c r="F1167" s="71">
        <v>0.75</v>
      </c>
      <c r="G1167" s="61">
        <v>0.25</v>
      </c>
      <c r="H1167" s="68"/>
    </row>
    <row r="1168" spans="1:8" x14ac:dyDescent="0.25">
      <c r="A1168" s="61">
        <v>7</v>
      </c>
      <c r="B1168" s="76" t="s">
        <v>44</v>
      </c>
      <c r="C1168" s="68">
        <v>1</v>
      </c>
      <c r="D1168" s="68">
        <f t="shared" si="448"/>
        <v>1</v>
      </c>
      <c r="E1168" s="66">
        <f t="shared" si="449"/>
        <v>0</v>
      </c>
      <c r="F1168" s="71">
        <v>1</v>
      </c>
      <c r="G1168" s="61"/>
      <c r="H1168" s="68"/>
    </row>
    <row r="1169" spans="1:8" x14ac:dyDescent="0.25">
      <c r="A1169" s="61">
        <v>8</v>
      </c>
      <c r="B1169" s="76" t="s">
        <v>45</v>
      </c>
      <c r="C1169" s="68">
        <f>7.75-2</f>
        <v>5.75</v>
      </c>
      <c r="D1169" s="68">
        <f t="shared" si="448"/>
        <v>2</v>
      </c>
      <c r="E1169" s="66">
        <f t="shared" si="449"/>
        <v>0</v>
      </c>
      <c r="F1169" s="71">
        <f>0.75+0.25+1</f>
        <v>2</v>
      </c>
      <c r="G1169" s="68">
        <f>3.75-1+0.25</f>
        <v>3</v>
      </c>
      <c r="H1169" s="68">
        <v>0.75</v>
      </c>
    </row>
    <row r="1170" spans="1:8" x14ac:dyDescent="0.25">
      <c r="A1170" s="61"/>
      <c r="B1170" s="72" t="s">
        <v>57</v>
      </c>
      <c r="C1170" s="73">
        <f t="shared" ref="C1170:H1170" si="450">SUM(C1162:C1169)</f>
        <v>20.25</v>
      </c>
      <c r="D1170" s="73">
        <f t="shared" si="450"/>
        <v>9.25</v>
      </c>
      <c r="E1170" s="73">
        <f t="shared" si="450"/>
        <v>0</v>
      </c>
      <c r="F1170" s="74">
        <f t="shared" si="450"/>
        <v>9.25</v>
      </c>
      <c r="G1170" s="73">
        <f t="shared" si="450"/>
        <v>8.75</v>
      </c>
      <c r="H1170" s="73">
        <f t="shared" si="450"/>
        <v>2.25</v>
      </c>
    </row>
    <row r="1171" spans="1:8" x14ac:dyDescent="0.25">
      <c r="A1171" s="61"/>
      <c r="B1171" s="72"/>
      <c r="C1171" s="83">
        <f t="shared" ref="C1171:H1171" si="451">SUM(C1172:C1174)</f>
        <v>20.25</v>
      </c>
      <c r="D1171" s="83">
        <f t="shared" si="451"/>
        <v>9.25</v>
      </c>
      <c r="E1171" s="83">
        <f t="shared" si="451"/>
        <v>0</v>
      </c>
      <c r="F1171" s="84">
        <f t="shared" si="451"/>
        <v>9.25</v>
      </c>
      <c r="G1171" s="83">
        <f t="shared" si="451"/>
        <v>8.75</v>
      </c>
      <c r="H1171" s="83">
        <f t="shared" si="451"/>
        <v>2.25</v>
      </c>
    </row>
    <row r="1172" spans="1:8" x14ac:dyDescent="0.25">
      <c r="A1172" s="56"/>
      <c r="B1172" s="82" t="s">
        <v>211</v>
      </c>
      <c r="C1172" s="73">
        <f t="shared" ref="C1172:H1172" si="452">SUM(C1162:C1163)</f>
        <v>4</v>
      </c>
      <c r="D1172" s="73">
        <f t="shared" si="452"/>
        <v>1.5</v>
      </c>
      <c r="E1172" s="73">
        <f t="shared" si="452"/>
        <v>0</v>
      </c>
      <c r="F1172" s="74">
        <f t="shared" si="452"/>
        <v>1.5</v>
      </c>
      <c r="G1172" s="73">
        <f t="shared" si="452"/>
        <v>1.75</v>
      </c>
      <c r="H1172" s="73">
        <f t="shared" si="452"/>
        <v>0.75</v>
      </c>
    </row>
    <row r="1173" spans="1:8" x14ac:dyDescent="0.25">
      <c r="A1173" s="123"/>
      <c r="B1173" s="82" t="s">
        <v>583</v>
      </c>
      <c r="C1173" s="73">
        <f t="shared" ref="C1173:H1173" si="453">SUM(C1164:C1167)</f>
        <v>9.5</v>
      </c>
      <c r="D1173" s="73">
        <f t="shared" si="453"/>
        <v>4.75</v>
      </c>
      <c r="E1173" s="73">
        <f t="shared" si="453"/>
        <v>0</v>
      </c>
      <c r="F1173" s="74">
        <f t="shared" si="453"/>
        <v>4.75</v>
      </c>
      <c r="G1173" s="73">
        <f t="shared" si="453"/>
        <v>4</v>
      </c>
      <c r="H1173" s="73">
        <f t="shared" si="453"/>
        <v>0.75</v>
      </c>
    </row>
    <row r="1174" spans="1:8" x14ac:dyDescent="0.25">
      <c r="A1174" s="61"/>
      <c r="B1174" s="82" t="s">
        <v>179</v>
      </c>
      <c r="C1174" s="73">
        <f t="shared" ref="C1174:H1174" si="454">SUM(C1168:C1169)</f>
        <v>6.75</v>
      </c>
      <c r="D1174" s="73">
        <f t="shared" si="454"/>
        <v>3</v>
      </c>
      <c r="E1174" s="73">
        <f t="shared" si="454"/>
        <v>0</v>
      </c>
      <c r="F1174" s="74">
        <f t="shared" si="454"/>
        <v>3</v>
      </c>
      <c r="G1174" s="73">
        <f t="shared" si="454"/>
        <v>3</v>
      </c>
      <c r="H1174" s="73">
        <f t="shared" si="454"/>
        <v>0.75</v>
      </c>
    </row>
    <row r="1175" spans="1:8" x14ac:dyDescent="0.25">
      <c r="A1175" s="61"/>
      <c r="B1175" s="82"/>
      <c r="C1175" s="73"/>
      <c r="D1175" s="73"/>
      <c r="E1175" s="73"/>
      <c r="F1175" s="74"/>
      <c r="G1175" s="60"/>
      <c r="H1175" s="61"/>
    </row>
    <row r="1176" spans="1:8" x14ac:dyDescent="0.25">
      <c r="A1176" s="61"/>
      <c r="B1176" s="33" t="s">
        <v>516</v>
      </c>
      <c r="C1176" s="73"/>
      <c r="D1176" s="73"/>
      <c r="E1176" s="73"/>
      <c r="F1176" s="74"/>
      <c r="G1176" s="60"/>
      <c r="H1176" s="61"/>
    </row>
    <row r="1177" spans="1:8" x14ac:dyDescent="0.25">
      <c r="A1177" s="33"/>
      <c r="B1177" s="257" t="s">
        <v>614</v>
      </c>
      <c r="C1177" s="73"/>
      <c r="D1177" s="73"/>
      <c r="E1177" s="73"/>
      <c r="F1177" s="74"/>
      <c r="G1177" s="60"/>
      <c r="H1177" s="61"/>
    </row>
    <row r="1178" spans="1:8" x14ac:dyDescent="0.25">
      <c r="A1178" s="61">
        <v>1</v>
      </c>
      <c r="B1178" s="288" t="s">
        <v>216</v>
      </c>
      <c r="C1178" s="68">
        <f>0.5+0.5</f>
        <v>1</v>
      </c>
      <c r="D1178" s="68">
        <f t="shared" ref="D1178:D1189" si="455">C1178-G1178-H1178</f>
        <v>0.75</v>
      </c>
      <c r="E1178" s="66">
        <f t="shared" ref="E1178:E1189" si="456">D1178-F1178</f>
        <v>0</v>
      </c>
      <c r="F1178" s="71">
        <v>0.75</v>
      </c>
      <c r="G1178" s="60">
        <v>0.25</v>
      </c>
      <c r="H1178" s="68"/>
    </row>
    <row r="1179" spans="1:8" x14ac:dyDescent="0.25">
      <c r="A1179" s="61">
        <v>2</v>
      </c>
      <c r="B1179" s="288" t="s">
        <v>68</v>
      </c>
      <c r="C1179" s="68">
        <f>0.5+0.5+0.25+1+0.25</f>
        <v>2.5</v>
      </c>
      <c r="D1179" s="68">
        <f t="shared" si="455"/>
        <v>0.25</v>
      </c>
      <c r="E1179" s="66">
        <f t="shared" si="456"/>
        <v>0</v>
      </c>
      <c r="F1179" s="71">
        <v>0.25</v>
      </c>
      <c r="G1179" s="102">
        <f>1+0.25+0.25</f>
        <v>1.5</v>
      </c>
      <c r="H1179" s="68">
        <f>1-0.25</f>
        <v>0.75</v>
      </c>
    </row>
    <row r="1180" spans="1:8" x14ac:dyDescent="0.25">
      <c r="A1180" s="61">
        <v>3</v>
      </c>
      <c r="B1180" s="288" t="s">
        <v>66</v>
      </c>
      <c r="C1180" s="68">
        <f>0.5+0.25</f>
        <v>0.75</v>
      </c>
      <c r="D1180" s="68">
        <f t="shared" si="455"/>
        <v>0.75</v>
      </c>
      <c r="E1180" s="66">
        <f t="shared" si="456"/>
        <v>0</v>
      </c>
      <c r="F1180" s="71">
        <f>0.5+0.25</f>
        <v>0.75</v>
      </c>
      <c r="G1180" s="102"/>
      <c r="H1180" s="68"/>
    </row>
    <row r="1181" spans="1:8" x14ac:dyDescent="0.25">
      <c r="A1181" s="61">
        <v>4</v>
      </c>
      <c r="B1181" s="288" t="s">
        <v>309</v>
      </c>
      <c r="C1181" s="68">
        <v>0.5</v>
      </c>
      <c r="D1181" s="68">
        <f t="shared" si="455"/>
        <v>0.5</v>
      </c>
      <c r="E1181" s="66">
        <f t="shared" si="456"/>
        <v>0</v>
      </c>
      <c r="F1181" s="71">
        <v>0.5</v>
      </c>
      <c r="G1181" s="102"/>
      <c r="H1181" s="68"/>
    </row>
    <row r="1182" spans="1:8" x14ac:dyDescent="0.25">
      <c r="A1182" s="61">
        <v>5</v>
      </c>
      <c r="B1182" s="288" t="s">
        <v>53</v>
      </c>
      <c r="C1182" s="68">
        <v>1</v>
      </c>
      <c r="D1182" s="68">
        <f t="shared" si="455"/>
        <v>0.75</v>
      </c>
      <c r="E1182" s="66">
        <f t="shared" si="456"/>
        <v>0</v>
      </c>
      <c r="F1182" s="71">
        <v>0.75</v>
      </c>
      <c r="G1182" s="102">
        <v>0.25</v>
      </c>
      <c r="H1182" s="68"/>
    </row>
    <row r="1183" spans="1:8" x14ac:dyDescent="0.25">
      <c r="A1183" s="61">
        <v>6</v>
      </c>
      <c r="B1183" s="288" t="s">
        <v>210</v>
      </c>
      <c r="C1183" s="68">
        <f>0.75+2+2+1+0.25</f>
        <v>6</v>
      </c>
      <c r="D1183" s="68">
        <f t="shared" si="455"/>
        <v>2</v>
      </c>
      <c r="E1183" s="66">
        <f t="shared" si="456"/>
        <v>0</v>
      </c>
      <c r="F1183" s="71">
        <f>0.25+0.5+1+0.25</f>
        <v>2</v>
      </c>
      <c r="G1183" s="102">
        <f>2.5+0.25+0.25+0.25</f>
        <v>3.25</v>
      </c>
      <c r="H1183" s="68">
        <f>1-0.25</f>
        <v>0.75</v>
      </c>
    </row>
    <row r="1184" spans="1:8" x14ac:dyDescent="0.25">
      <c r="A1184" s="61">
        <v>7</v>
      </c>
      <c r="B1184" s="288" t="s">
        <v>94</v>
      </c>
      <c r="C1184" s="68">
        <f>1+1</f>
        <v>2</v>
      </c>
      <c r="D1184" s="68">
        <f t="shared" si="455"/>
        <v>0.75</v>
      </c>
      <c r="E1184" s="66">
        <f t="shared" si="456"/>
        <v>0</v>
      </c>
      <c r="F1184" s="71">
        <v>0.75</v>
      </c>
      <c r="G1184" s="102">
        <f>1+0.25</f>
        <v>1.25</v>
      </c>
      <c r="H1184" s="68"/>
    </row>
    <row r="1185" spans="1:8" x14ac:dyDescent="0.25">
      <c r="A1185" s="56">
        <v>8</v>
      </c>
      <c r="B1185" s="288" t="s">
        <v>310</v>
      </c>
      <c r="C1185" s="68">
        <v>1</v>
      </c>
      <c r="D1185" s="68">
        <f t="shared" si="455"/>
        <v>0.75</v>
      </c>
      <c r="E1185" s="66">
        <f t="shared" si="456"/>
        <v>0</v>
      </c>
      <c r="F1185" s="71">
        <v>0.75</v>
      </c>
      <c r="G1185" s="102">
        <v>0.25</v>
      </c>
      <c r="H1185" s="68"/>
    </row>
    <row r="1186" spans="1:8" x14ac:dyDescent="0.25">
      <c r="A1186" s="61">
        <v>9</v>
      </c>
      <c r="B1186" s="288" t="s">
        <v>44</v>
      </c>
      <c r="C1186" s="68">
        <v>1</v>
      </c>
      <c r="D1186" s="68">
        <f t="shared" si="455"/>
        <v>0.75</v>
      </c>
      <c r="E1186" s="66">
        <f t="shared" si="456"/>
        <v>0</v>
      </c>
      <c r="F1186" s="71">
        <v>0.75</v>
      </c>
      <c r="G1186" s="102">
        <v>0.25</v>
      </c>
      <c r="H1186" s="68"/>
    </row>
    <row r="1187" spans="1:8" x14ac:dyDescent="0.25">
      <c r="A1187" s="61">
        <v>10</v>
      </c>
      <c r="B1187" s="288" t="s">
        <v>45</v>
      </c>
      <c r="C1187" s="68">
        <f>7.75-2+1</f>
        <v>6.75</v>
      </c>
      <c r="D1187" s="68">
        <f t="shared" si="455"/>
        <v>3.5</v>
      </c>
      <c r="E1187" s="66">
        <f t="shared" si="456"/>
        <v>0</v>
      </c>
      <c r="F1187" s="71">
        <f>0.75+1+0.75+1</f>
        <v>3.5</v>
      </c>
      <c r="G1187" s="102">
        <f>2.25-1+0.5+1</f>
        <v>2.75</v>
      </c>
      <c r="H1187" s="68">
        <v>0.5</v>
      </c>
    </row>
    <row r="1188" spans="1:8" x14ac:dyDescent="0.25">
      <c r="A1188" s="61">
        <v>11</v>
      </c>
      <c r="B1188" s="288" t="s">
        <v>311</v>
      </c>
      <c r="C1188" s="68">
        <v>0.5</v>
      </c>
      <c r="D1188" s="68">
        <f t="shared" si="455"/>
        <v>0.5</v>
      </c>
      <c r="E1188" s="66">
        <f t="shared" si="456"/>
        <v>0.5</v>
      </c>
      <c r="F1188" s="71"/>
      <c r="G1188" s="102"/>
      <c r="H1188" s="68"/>
    </row>
    <row r="1189" spans="1:8" x14ac:dyDescent="0.25">
      <c r="A1189" s="61">
        <v>12</v>
      </c>
      <c r="B1189" s="288" t="s">
        <v>312</v>
      </c>
      <c r="C1189" s="68">
        <v>1</v>
      </c>
      <c r="D1189" s="68">
        <f t="shared" si="455"/>
        <v>1</v>
      </c>
      <c r="E1189" s="66">
        <f t="shared" si="456"/>
        <v>1</v>
      </c>
      <c r="F1189" s="71"/>
      <c r="G1189" s="102"/>
      <c r="H1189" s="68"/>
    </row>
    <row r="1190" spans="1:8" x14ac:dyDescent="0.25">
      <c r="A1190" s="61"/>
      <c r="B1190" s="72" t="s">
        <v>57</v>
      </c>
      <c r="C1190" s="73">
        <f t="shared" ref="C1190:H1190" si="457">SUM(C1178:C1189)</f>
        <v>24</v>
      </c>
      <c r="D1190" s="73">
        <f t="shared" si="457"/>
        <v>12.25</v>
      </c>
      <c r="E1190" s="73">
        <f t="shared" si="457"/>
        <v>1.5</v>
      </c>
      <c r="F1190" s="74">
        <f t="shared" si="457"/>
        <v>10.75</v>
      </c>
      <c r="G1190" s="73">
        <f t="shared" si="457"/>
        <v>9.75</v>
      </c>
      <c r="H1190" s="73">
        <f t="shared" si="457"/>
        <v>2</v>
      </c>
    </row>
    <row r="1191" spans="1:8" x14ac:dyDescent="0.25">
      <c r="A1191" s="61"/>
      <c r="B1191" s="72"/>
      <c r="C1191" s="83">
        <f t="shared" ref="C1191:H1191" si="458">SUM(C1192:C1195)</f>
        <v>24</v>
      </c>
      <c r="D1191" s="83">
        <f t="shared" si="458"/>
        <v>12.25</v>
      </c>
      <c r="E1191" s="83">
        <f t="shared" si="458"/>
        <v>1.5</v>
      </c>
      <c r="F1191" s="84">
        <f t="shared" si="458"/>
        <v>10.75</v>
      </c>
      <c r="G1191" s="83">
        <f t="shared" si="458"/>
        <v>9.75</v>
      </c>
      <c r="H1191" s="83">
        <f t="shared" si="458"/>
        <v>2</v>
      </c>
    </row>
    <row r="1192" spans="1:8" x14ac:dyDescent="0.25">
      <c r="A1192" s="61"/>
      <c r="B1192" s="82" t="s">
        <v>211</v>
      </c>
      <c r="C1192" s="73">
        <f t="shared" ref="C1192:H1192" si="459">SUM(C1178:C1181)</f>
        <v>4.75</v>
      </c>
      <c r="D1192" s="73">
        <f t="shared" si="459"/>
        <v>2.25</v>
      </c>
      <c r="E1192" s="73">
        <f t="shared" si="459"/>
        <v>0</v>
      </c>
      <c r="F1192" s="74">
        <f t="shared" si="459"/>
        <v>2.25</v>
      </c>
      <c r="G1192" s="73">
        <f t="shared" si="459"/>
        <v>1.75</v>
      </c>
      <c r="H1192" s="73">
        <f t="shared" si="459"/>
        <v>0.75</v>
      </c>
    </row>
    <row r="1193" spans="1:8" x14ac:dyDescent="0.25">
      <c r="A1193" s="61"/>
      <c r="B1193" s="82" t="s">
        <v>583</v>
      </c>
      <c r="C1193" s="73">
        <f t="shared" ref="C1193:H1193" si="460">SUM(C1182:C1185)</f>
        <v>10</v>
      </c>
      <c r="D1193" s="73">
        <f t="shared" si="460"/>
        <v>4.25</v>
      </c>
      <c r="E1193" s="73">
        <f t="shared" si="460"/>
        <v>0</v>
      </c>
      <c r="F1193" s="74">
        <f t="shared" si="460"/>
        <v>4.25</v>
      </c>
      <c r="G1193" s="73">
        <f t="shared" si="460"/>
        <v>5</v>
      </c>
      <c r="H1193" s="73">
        <f t="shared" si="460"/>
        <v>0.75</v>
      </c>
    </row>
    <row r="1194" spans="1:8" x14ac:dyDescent="0.25">
      <c r="A1194" s="56"/>
      <c r="B1194" s="82" t="s">
        <v>179</v>
      </c>
      <c r="C1194" s="73">
        <f t="shared" ref="C1194:H1194" si="461">SUM(C1186:C1187)</f>
        <v>7.75</v>
      </c>
      <c r="D1194" s="73">
        <f t="shared" si="461"/>
        <v>4.25</v>
      </c>
      <c r="E1194" s="73">
        <f t="shared" si="461"/>
        <v>0</v>
      </c>
      <c r="F1194" s="74">
        <f t="shared" si="461"/>
        <v>4.25</v>
      </c>
      <c r="G1194" s="73">
        <f t="shared" si="461"/>
        <v>3</v>
      </c>
      <c r="H1194" s="73">
        <f t="shared" si="461"/>
        <v>0.5</v>
      </c>
    </row>
    <row r="1195" spans="1:8" x14ac:dyDescent="0.25">
      <c r="A1195" s="56"/>
      <c r="B1195" s="82" t="s">
        <v>30</v>
      </c>
      <c r="C1195" s="73">
        <f t="shared" ref="C1195:H1195" si="462">SUM(C1188:C1189)</f>
        <v>1.5</v>
      </c>
      <c r="D1195" s="73">
        <f t="shared" si="462"/>
        <v>1.5</v>
      </c>
      <c r="E1195" s="73">
        <f t="shared" si="462"/>
        <v>1.5</v>
      </c>
      <c r="F1195" s="74">
        <f t="shared" si="462"/>
        <v>0</v>
      </c>
      <c r="G1195" s="73">
        <f t="shared" si="462"/>
        <v>0</v>
      </c>
      <c r="H1195" s="73">
        <f t="shared" si="462"/>
        <v>0</v>
      </c>
    </row>
    <row r="1196" spans="1:8" x14ac:dyDescent="0.25">
      <c r="A1196" s="56"/>
      <c r="B1196" s="82"/>
      <c r="C1196" s="73"/>
      <c r="D1196" s="73"/>
      <c r="E1196" s="73"/>
      <c r="F1196" s="74"/>
      <c r="G1196" s="73"/>
      <c r="H1196" s="73"/>
    </row>
    <row r="1197" spans="1:8" x14ac:dyDescent="0.25">
      <c r="A1197" s="56"/>
      <c r="B1197" s="82"/>
      <c r="C1197" s="73"/>
      <c r="D1197" s="73"/>
      <c r="E1197" s="73"/>
      <c r="F1197" s="74"/>
      <c r="G1197" s="73"/>
      <c r="H1197" s="73"/>
    </row>
    <row r="1198" spans="1:8" x14ac:dyDescent="0.25">
      <c r="A1198" s="56"/>
      <c r="B1198" s="82"/>
      <c r="C1198" s="73"/>
      <c r="D1198" s="73"/>
      <c r="E1198" s="73"/>
      <c r="F1198" s="74"/>
      <c r="G1198" s="73"/>
      <c r="H1198" s="73"/>
    </row>
    <row r="1199" spans="1:8" x14ac:dyDescent="0.25">
      <c r="A1199" s="61"/>
      <c r="B1199" s="289" t="s">
        <v>615</v>
      </c>
      <c r="C1199" s="73"/>
      <c r="D1199" s="73"/>
      <c r="E1199" s="73"/>
      <c r="F1199" s="74"/>
      <c r="G1199" s="60"/>
      <c r="H1199" s="61"/>
    </row>
    <row r="1200" spans="1:8" x14ac:dyDescent="0.25">
      <c r="A1200" s="61"/>
      <c r="B1200" s="289" t="s">
        <v>611</v>
      </c>
      <c r="C1200" s="73"/>
      <c r="D1200" s="73"/>
      <c r="E1200" s="73"/>
      <c r="F1200" s="74"/>
      <c r="G1200" s="60"/>
      <c r="H1200" s="61"/>
    </row>
    <row r="1201" spans="1:8" ht="26.25" x14ac:dyDescent="0.25">
      <c r="A1201" s="61">
        <v>1</v>
      </c>
      <c r="B1201" s="273" t="s">
        <v>313</v>
      </c>
      <c r="C1201" s="66">
        <v>1</v>
      </c>
      <c r="D1201" s="66">
        <f t="shared" ref="D1201:D1210" si="463">C1201-G1201-H1201</f>
        <v>0.75</v>
      </c>
      <c r="E1201" s="66">
        <f t="shared" ref="E1201:E1210" si="464">D1201-F1201</f>
        <v>0</v>
      </c>
      <c r="F1201" s="67">
        <v>0.75</v>
      </c>
      <c r="G1201" s="61">
        <v>0.25</v>
      </c>
      <c r="H1201" s="68"/>
    </row>
    <row r="1202" spans="1:8" x14ac:dyDescent="0.25">
      <c r="A1202" s="61">
        <v>2</v>
      </c>
      <c r="B1202" s="273" t="s">
        <v>81</v>
      </c>
      <c r="C1202" s="66">
        <v>0.25</v>
      </c>
      <c r="D1202" s="66">
        <f t="shared" si="463"/>
        <v>0.25</v>
      </c>
      <c r="E1202" s="66">
        <f t="shared" si="464"/>
        <v>0</v>
      </c>
      <c r="F1202" s="67">
        <f>0.12+0.13</f>
        <v>0.25</v>
      </c>
      <c r="G1202" s="61"/>
      <c r="H1202" s="68"/>
    </row>
    <row r="1203" spans="1:8" x14ac:dyDescent="0.25">
      <c r="A1203" s="61">
        <v>3</v>
      </c>
      <c r="B1203" s="76" t="s">
        <v>92</v>
      </c>
      <c r="C1203" s="66">
        <v>2</v>
      </c>
      <c r="D1203" s="66">
        <f t="shared" si="463"/>
        <v>1</v>
      </c>
      <c r="E1203" s="66">
        <f t="shared" si="464"/>
        <v>0</v>
      </c>
      <c r="F1203" s="67">
        <f>0.75+0.25</f>
        <v>1</v>
      </c>
      <c r="G1203" s="68">
        <f>0.25+0.75</f>
        <v>1</v>
      </c>
      <c r="H1203" s="68"/>
    </row>
    <row r="1204" spans="1:8" x14ac:dyDescent="0.25">
      <c r="A1204" s="61">
        <v>4</v>
      </c>
      <c r="B1204" s="76" t="s">
        <v>314</v>
      </c>
      <c r="C1204" s="66">
        <v>0.5</v>
      </c>
      <c r="D1204" s="66">
        <f t="shared" si="463"/>
        <v>0.5</v>
      </c>
      <c r="E1204" s="66">
        <f t="shared" si="464"/>
        <v>0</v>
      </c>
      <c r="F1204" s="67">
        <f>0.25+0.25</f>
        <v>0.5</v>
      </c>
      <c r="G1204" s="61"/>
      <c r="H1204" s="68"/>
    </row>
    <row r="1205" spans="1:8" x14ac:dyDescent="0.25">
      <c r="A1205" s="61">
        <v>5</v>
      </c>
      <c r="B1205" s="273" t="s">
        <v>53</v>
      </c>
      <c r="C1205" s="66">
        <f>1-0.5</f>
        <v>0.5</v>
      </c>
      <c r="D1205" s="66">
        <f t="shared" si="463"/>
        <v>0.5</v>
      </c>
      <c r="E1205" s="66">
        <f t="shared" si="464"/>
        <v>0</v>
      </c>
      <c r="F1205" s="67">
        <v>0.5</v>
      </c>
      <c r="G1205" s="61"/>
      <c r="H1205" s="68"/>
    </row>
    <row r="1206" spans="1:8" x14ac:dyDescent="0.25">
      <c r="A1206" s="61">
        <v>6</v>
      </c>
      <c r="B1206" s="273" t="s">
        <v>210</v>
      </c>
      <c r="C1206" s="66">
        <f>4.75-1</f>
        <v>3.75</v>
      </c>
      <c r="D1206" s="66">
        <f t="shared" si="463"/>
        <v>2</v>
      </c>
      <c r="E1206" s="66">
        <f t="shared" si="464"/>
        <v>0</v>
      </c>
      <c r="F1206" s="67">
        <f>0.5+0.5+0.25+0.25+0.5</f>
        <v>2</v>
      </c>
      <c r="G1206" s="61">
        <f>0.25+1.5</f>
        <v>1.75</v>
      </c>
      <c r="H1206" s="68"/>
    </row>
    <row r="1207" spans="1:8" x14ac:dyDescent="0.25">
      <c r="A1207" s="61">
        <v>7</v>
      </c>
      <c r="B1207" s="273" t="s">
        <v>94</v>
      </c>
      <c r="C1207" s="66">
        <v>0.5</v>
      </c>
      <c r="D1207" s="66">
        <f t="shared" si="463"/>
        <v>0.5</v>
      </c>
      <c r="E1207" s="66">
        <f t="shared" si="464"/>
        <v>0</v>
      </c>
      <c r="F1207" s="67">
        <v>0.5</v>
      </c>
      <c r="G1207" s="61"/>
      <c r="H1207" s="68"/>
    </row>
    <row r="1208" spans="1:8" x14ac:dyDescent="0.25">
      <c r="A1208" s="61">
        <v>8</v>
      </c>
      <c r="B1208" s="273" t="s">
        <v>213</v>
      </c>
      <c r="C1208" s="66">
        <v>1</v>
      </c>
      <c r="D1208" s="66">
        <f t="shared" si="463"/>
        <v>0.75</v>
      </c>
      <c r="E1208" s="66">
        <f t="shared" si="464"/>
        <v>0</v>
      </c>
      <c r="F1208" s="67">
        <v>0.75</v>
      </c>
      <c r="G1208" s="61">
        <v>0.25</v>
      </c>
      <c r="H1208" s="68"/>
    </row>
    <row r="1209" spans="1:8" x14ac:dyDescent="0.25">
      <c r="A1209" s="61">
        <v>9</v>
      </c>
      <c r="B1209" s="273" t="s">
        <v>44</v>
      </c>
      <c r="C1209" s="66">
        <f>1-0.5</f>
        <v>0.5</v>
      </c>
      <c r="D1209" s="66">
        <f t="shared" si="463"/>
        <v>0.5</v>
      </c>
      <c r="E1209" s="66">
        <f t="shared" si="464"/>
        <v>0</v>
      </c>
      <c r="F1209" s="67">
        <v>0.5</v>
      </c>
      <c r="G1209" s="204"/>
      <c r="H1209" s="68"/>
    </row>
    <row r="1210" spans="1:8" x14ac:dyDescent="0.25">
      <c r="A1210" s="61">
        <v>10</v>
      </c>
      <c r="B1210" s="273" t="s">
        <v>45</v>
      </c>
      <c r="C1210" s="66">
        <f>3-1</f>
        <v>2</v>
      </c>
      <c r="D1210" s="66">
        <f t="shared" si="463"/>
        <v>2</v>
      </c>
      <c r="E1210" s="66">
        <f t="shared" si="464"/>
        <v>0</v>
      </c>
      <c r="F1210" s="67">
        <f>0.5+0.5+0.5+0.5</f>
        <v>2</v>
      </c>
      <c r="G1210" s="204"/>
      <c r="H1210" s="68"/>
    </row>
    <row r="1211" spans="1:8" x14ac:dyDescent="0.25">
      <c r="A1211" s="61"/>
      <c r="B1211" s="141" t="s">
        <v>57</v>
      </c>
      <c r="C1211" s="73">
        <f t="shared" ref="C1211:H1211" si="465">SUM(C1201:C1210)</f>
        <v>12</v>
      </c>
      <c r="D1211" s="73">
        <f t="shared" si="465"/>
        <v>8.75</v>
      </c>
      <c r="E1211" s="73">
        <f t="shared" si="465"/>
        <v>0</v>
      </c>
      <c r="F1211" s="74">
        <f t="shared" si="465"/>
        <v>8.75</v>
      </c>
      <c r="G1211" s="73">
        <f t="shared" si="465"/>
        <v>3.25</v>
      </c>
      <c r="H1211" s="73">
        <f t="shared" si="465"/>
        <v>0</v>
      </c>
    </row>
    <row r="1212" spans="1:8" x14ac:dyDescent="0.25">
      <c r="A1212" s="61"/>
      <c r="B1212" s="141"/>
      <c r="C1212" s="83">
        <f t="shared" ref="C1212:H1212" si="466">SUM(C1213:C1215)</f>
        <v>12</v>
      </c>
      <c r="D1212" s="83">
        <f t="shared" si="466"/>
        <v>8.75</v>
      </c>
      <c r="E1212" s="83">
        <f t="shared" si="466"/>
        <v>0</v>
      </c>
      <c r="F1212" s="84">
        <f t="shared" si="466"/>
        <v>8.75</v>
      </c>
      <c r="G1212" s="83">
        <f t="shared" si="466"/>
        <v>3.25</v>
      </c>
      <c r="H1212" s="83">
        <f t="shared" si="466"/>
        <v>0</v>
      </c>
    </row>
    <row r="1213" spans="1:8" x14ac:dyDescent="0.25">
      <c r="A1213" s="61"/>
      <c r="B1213" s="141" t="s">
        <v>211</v>
      </c>
      <c r="C1213" s="73">
        <f t="shared" ref="C1213:H1213" si="467">SUM(C1201:C1204)</f>
        <v>3.75</v>
      </c>
      <c r="D1213" s="73">
        <f t="shared" si="467"/>
        <v>2.5</v>
      </c>
      <c r="E1213" s="73">
        <f t="shared" si="467"/>
        <v>0</v>
      </c>
      <c r="F1213" s="74">
        <f t="shared" si="467"/>
        <v>2.5</v>
      </c>
      <c r="G1213" s="73">
        <f t="shared" si="467"/>
        <v>1.25</v>
      </c>
      <c r="H1213" s="73">
        <f t="shared" si="467"/>
        <v>0</v>
      </c>
    </row>
    <row r="1214" spans="1:8" x14ac:dyDescent="0.25">
      <c r="A1214" s="61"/>
      <c r="B1214" s="82" t="s">
        <v>29</v>
      </c>
      <c r="C1214" s="73">
        <f t="shared" ref="C1214:H1214" si="468">SUM(C1205:C1208)</f>
        <v>5.75</v>
      </c>
      <c r="D1214" s="73">
        <f t="shared" si="468"/>
        <v>3.75</v>
      </c>
      <c r="E1214" s="73">
        <f t="shared" si="468"/>
        <v>0</v>
      </c>
      <c r="F1214" s="74">
        <f t="shared" si="468"/>
        <v>3.75</v>
      </c>
      <c r="G1214" s="73">
        <f t="shared" si="468"/>
        <v>2</v>
      </c>
      <c r="H1214" s="73">
        <f t="shared" si="468"/>
        <v>0</v>
      </c>
    </row>
    <row r="1215" spans="1:8" x14ac:dyDescent="0.25">
      <c r="A1215" s="61"/>
      <c r="B1215" s="82" t="s">
        <v>262</v>
      </c>
      <c r="C1215" s="73">
        <f t="shared" ref="C1215:H1215" si="469">SUM(C1209:C1210)</f>
        <v>2.5</v>
      </c>
      <c r="D1215" s="73">
        <f t="shared" si="469"/>
        <v>2.5</v>
      </c>
      <c r="E1215" s="73">
        <f t="shared" si="469"/>
        <v>0</v>
      </c>
      <c r="F1215" s="74">
        <f t="shared" si="469"/>
        <v>2.5</v>
      </c>
      <c r="G1215" s="73">
        <f t="shared" si="469"/>
        <v>0</v>
      </c>
      <c r="H1215" s="73">
        <f t="shared" si="469"/>
        <v>0</v>
      </c>
    </row>
    <row r="1216" spans="1:8" x14ac:dyDescent="0.25">
      <c r="A1216" s="61"/>
      <c r="B1216" s="33" t="s">
        <v>239</v>
      </c>
      <c r="C1216" s="73"/>
      <c r="D1216" s="73"/>
      <c r="E1216" s="73"/>
      <c r="F1216" s="74"/>
      <c r="G1216" s="60"/>
      <c r="H1216" s="61"/>
    </row>
    <row r="1217" spans="1:10" x14ac:dyDescent="0.25">
      <c r="A1217" s="61">
        <v>1</v>
      </c>
      <c r="B1217" s="86" t="s">
        <v>315</v>
      </c>
      <c r="C1217" s="66">
        <v>1</v>
      </c>
      <c r="D1217" s="66">
        <f>C1217-G1217-H1217</f>
        <v>1</v>
      </c>
      <c r="E1217" s="66">
        <f>D1217-F1217</f>
        <v>0</v>
      </c>
      <c r="F1217" s="67">
        <v>1</v>
      </c>
      <c r="G1217" s="61"/>
      <c r="H1217" s="68"/>
    </row>
    <row r="1218" spans="1:10" x14ac:dyDescent="0.25">
      <c r="A1218" s="61">
        <v>2</v>
      </c>
      <c r="B1218" s="76" t="s">
        <v>240</v>
      </c>
      <c r="C1218" s="66">
        <v>1</v>
      </c>
      <c r="D1218" s="66">
        <f>C1218-G1218-H1218</f>
        <v>1</v>
      </c>
      <c r="E1218" s="66">
        <f>D1218-F1218</f>
        <v>0</v>
      </c>
      <c r="F1218" s="67">
        <v>1</v>
      </c>
      <c r="G1218" s="61"/>
      <c r="H1218" s="68"/>
    </row>
    <row r="1219" spans="1:10" x14ac:dyDescent="0.25">
      <c r="A1219" s="61">
        <v>3</v>
      </c>
      <c r="B1219" s="76" t="s">
        <v>595</v>
      </c>
      <c r="C1219" s="66">
        <f>12+2</f>
        <v>14</v>
      </c>
      <c r="D1219" s="66">
        <f>C1219-G1219-H1219</f>
        <v>9.25</v>
      </c>
      <c r="E1219" s="66">
        <f>D1219-F1219</f>
        <v>0</v>
      </c>
      <c r="F1219" s="67">
        <f>1+1+0.75+1+0.5+1+1+1+1+1</f>
        <v>9.25</v>
      </c>
      <c r="G1219" s="68">
        <f>3.5+0.75</f>
        <v>4.25</v>
      </c>
      <c r="H1219" s="68">
        <v>0.5</v>
      </c>
      <c r="J1219">
        <f>3.75+0.5+5</f>
        <v>9.25</v>
      </c>
    </row>
    <row r="1220" spans="1:10" x14ac:dyDescent="0.25">
      <c r="A1220" s="61">
        <v>4</v>
      </c>
      <c r="B1220" s="76" t="s">
        <v>44</v>
      </c>
      <c r="C1220" s="66">
        <v>1</v>
      </c>
      <c r="D1220" s="66">
        <f>C1220-G1220-H1220</f>
        <v>0.75</v>
      </c>
      <c r="E1220" s="66">
        <f>D1220-F1220</f>
        <v>0</v>
      </c>
      <c r="F1220" s="67">
        <v>0.75</v>
      </c>
      <c r="G1220" s="61">
        <v>0.25</v>
      </c>
      <c r="H1220" s="68"/>
    </row>
    <row r="1221" spans="1:10" x14ac:dyDescent="0.25">
      <c r="A1221" s="56">
        <v>5</v>
      </c>
      <c r="B1221" s="76" t="s">
        <v>45</v>
      </c>
      <c r="C1221" s="66">
        <f>6.5+1</f>
        <v>7.5</v>
      </c>
      <c r="D1221" s="66">
        <f>C1221-G1221-H1221</f>
        <v>3.5</v>
      </c>
      <c r="E1221" s="66">
        <f>D1221-F1221</f>
        <v>0</v>
      </c>
      <c r="F1221" s="67">
        <f>0.75+0.75+0.5+0.75+0.75</f>
        <v>3.5</v>
      </c>
      <c r="G1221" s="68">
        <f>2+1.5</f>
        <v>3.5</v>
      </c>
      <c r="H1221" s="68">
        <v>0.5</v>
      </c>
    </row>
    <row r="1222" spans="1:10" x14ac:dyDescent="0.25">
      <c r="A1222" s="61"/>
      <c r="B1222" s="72" t="s">
        <v>596</v>
      </c>
      <c r="C1222" s="73">
        <f t="shared" ref="C1222:H1222" si="470">SUM(C1217:C1221)</f>
        <v>24.5</v>
      </c>
      <c r="D1222" s="73">
        <f t="shared" si="470"/>
        <v>15.5</v>
      </c>
      <c r="E1222" s="73">
        <f t="shared" si="470"/>
        <v>0</v>
      </c>
      <c r="F1222" s="74">
        <f t="shared" si="470"/>
        <v>15.5</v>
      </c>
      <c r="G1222" s="73">
        <f t="shared" si="470"/>
        <v>8</v>
      </c>
      <c r="H1222" s="73">
        <f t="shared" si="470"/>
        <v>1</v>
      </c>
    </row>
    <row r="1223" spans="1:10" x14ac:dyDescent="0.25">
      <c r="A1223" s="61"/>
      <c r="B1223" s="72"/>
      <c r="C1223" s="83">
        <f t="shared" ref="C1223:H1223" si="471">SUM(C1224:C1226)</f>
        <v>24.5</v>
      </c>
      <c r="D1223" s="83">
        <f t="shared" si="471"/>
        <v>15.5</v>
      </c>
      <c r="E1223" s="83">
        <f t="shared" si="471"/>
        <v>0</v>
      </c>
      <c r="F1223" s="84">
        <f t="shared" si="471"/>
        <v>15.5</v>
      </c>
      <c r="G1223" s="83">
        <f t="shared" si="471"/>
        <v>8</v>
      </c>
      <c r="H1223" s="83">
        <f t="shared" si="471"/>
        <v>1</v>
      </c>
    </row>
    <row r="1224" spans="1:10" x14ac:dyDescent="0.25">
      <c r="A1224" s="61"/>
      <c r="B1224" s="82" t="s">
        <v>226</v>
      </c>
      <c r="C1224" s="73">
        <f t="shared" ref="C1224:H1224" si="472">C1217</f>
        <v>1</v>
      </c>
      <c r="D1224" s="73">
        <f t="shared" si="472"/>
        <v>1</v>
      </c>
      <c r="E1224" s="73">
        <f t="shared" si="472"/>
        <v>0</v>
      </c>
      <c r="F1224" s="74">
        <f t="shared" si="472"/>
        <v>1</v>
      </c>
      <c r="G1224" s="73">
        <f t="shared" si="472"/>
        <v>0</v>
      </c>
      <c r="H1224" s="73">
        <f t="shared" si="472"/>
        <v>0</v>
      </c>
    </row>
    <row r="1225" spans="1:10" x14ac:dyDescent="0.25">
      <c r="A1225" s="61"/>
      <c r="B1225" s="82" t="s">
        <v>583</v>
      </c>
      <c r="C1225" s="73">
        <f t="shared" ref="C1225:H1225" si="473">C1218+C1219</f>
        <v>15</v>
      </c>
      <c r="D1225" s="73">
        <f t="shared" si="473"/>
        <v>10.25</v>
      </c>
      <c r="E1225" s="73">
        <f t="shared" si="473"/>
        <v>0</v>
      </c>
      <c r="F1225" s="74">
        <f t="shared" si="473"/>
        <v>10.25</v>
      </c>
      <c r="G1225" s="73">
        <f t="shared" si="473"/>
        <v>4.25</v>
      </c>
      <c r="H1225" s="73">
        <f t="shared" si="473"/>
        <v>0.5</v>
      </c>
    </row>
    <row r="1226" spans="1:10" x14ac:dyDescent="0.25">
      <c r="A1226" s="61"/>
      <c r="B1226" s="82" t="s">
        <v>179</v>
      </c>
      <c r="C1226" s="73">
        <f t="shared" ref="C1226:H1226" si="474">C1221+C1220</f>
        <v>8.5</v>
      </c>
      <c r="D1226" s="73">
        <f t="shared" si="474"/>
        <v>4.25</v>
      </c>
      <c r="E1226" s="73">
        <f t="shared" si="474"/>
        <v>0</v>
      </c>
      <c r="F1226" s="74">
        <f t="shared" si="474"/>
        <v>4.25</v>
      </c>
      <c r="G1226" s="73">
        <f t="shared" si="474"/>
        <v>3.75</v>
      </c>
      <c r="H1226" s="73">
        <f t="shared" si="474"/>
        <v>0.5</v>
      </c>
    </row>
    <row r="1227" spans="1:10" x14ac:dyDescent="0.25">
      <c r="A1227" s="61"/>
      <c r="B1227" s="33" t="s">
        <v>235</v>
      </c>
      <c r="C1227" s="68"/>
      <c r="D1227" s="68"/>
      <c r="E1227" s="68"/>
      <c r="F1227" s="71"/>
      <c r="G1227" s="60"/>
      <c r="H1227" s="61"/>
    </row>
    <row r="1228" spans="1:10" ht="26.25" x14ac:dyDescent="0.25">
      <c r="A1228" s="61">
        <v>1</v>
      </c>
      <c r="B1228" s="88" t="s">
        <v>236</v>
      </c>
      <c r="C1228" s="68">
        <v>1</v>
      </c>
      <c r="D1228" s="68">
        <f t="shared" ref="D1228:D1234" si="475">C1228-G1228-H1228</f>
        <v>1</v>
      </c>
      <c r="E1228" s="66">
        <f t="shared" ref="E1228:E1234" si="476">D1228-F1228</f>
        <v>0</v>
      </c>
      <c r="F1228" s="71">
        <f>1</f>
        <v>1</v>
      </c>
      <c r="G1228" s="60"/>
      <c r="H1228" s="68"/>
    </row>
    <row r="1229" spans="1:10" x14ac:dyDescent="0.25">
      <c r="A1229" s="61">
        <v>2</v>
      </c>
      <c r="B1229" s="76" t="s">
        <v>237</v>
      </c>
      <c r="C1229" s="68">
        <v>3.75</v>
      </c>
      <c r="D1229" s="68">
        <f t="shared" si="475"/>
        <v>2.5</v>
      </c>
      <c r="E1229" s="66">
        <f t="shared" si="476"/>
        <v>0</v>
      </c>
      <c r="F1229" s="71">
        <f>0.25+0.25+0.25+0.25+0.25+0.25+0.25+0.25+0.25+0.25</f>
        <v>2.5</v>
      </c>
      <c r="G1229" s="61">
        <f>0.75+0.5</f>
        <v>1.25</v>
      </c>
      <c r="H1229" s="68"/>
    </row>
    <row r="1230" spans="1:10" x14ac:dyDescent="0.25">
      <c r="A1230" s="61">
        <v>3</v>
      </c>
      <c r="B1230" s="86" t="s">
        <v>53</v>
      </c>
      <c r="C1230" s="68">
        <v>1</v>
      </c>
      <c r="D1230" s="68">
        <f t="shared" si="475"/>
        <v>1</v>
      </c>
      <c r="E1230" s="66">
        <f t="shared" si="476"/>
        <v>0</v>
      </c>
      <c r="F1230" s="71">
        <v>1</v>
      </c>
      <c r="G1230" s="61"/>
      <c r="H1230" s="68"/>
    </row>
    <row r="1231" spans="1:10" x14ac:dyDescent="0.25">
      <c r="A1231" s="61">
        <v>4</v>
      </c>
      <c r="B1231" s="76" t="s">
        <v>238</v>
      </c>
      <c r="C1231" s="68">
        <f>3.25-1</f>
        <v>2.25</v>
      </c>
      <c r="D1231" s="68">
        <f t="shared" si="475"/>
        <v>1</v>
      </c>
      <c r="E1231" s="66">
        <f t="shared" si="476"/>
        <v>0</v>
      </c>
      <c r="F1231" s="71">
        <f>1</f>
        <v>1</v>
      </c>
      <c r="G1231" s="61">
        <v>1.25</v>
      </c>
      <c r="H1231" s="68"/>
    </row>
    <row r="1232" spans="1:10" x14ac:dyDescent="0.25">
      <c r="A1232" s="61">
        <v>5</v>
      </c>
      <c r="B1232" s="76" t="s">
        <v>297</v>
      </c>
      <c r="C1232" s="68">
        <v>1</v>
      </c>
      <c r="D1232" s="68">
        <f t="shared" si="475"/>
        <v>1</v>
      </c>
      <c r="E1232" s="66">
        <f t="shared" si="476"/>
        <v>0</v>
      </c>
      <c r="F1232" s="71">
        <v>1</v>
      </c>
      <c r="G1232" s="61"/>
      <c r="H1232" s="68"/>
    </row>
    <row r="1233" spans="1:8" x14ac:dyDescent="0.25">
      <c r="A1233" s="61">
        <v>6</v>
      </c>
      <c r="B1233" s="76" t="s">
        <v>44</v>
      </c>
      <c r="C1233" s="68">
        <v>1</v>
      </c>
      <c r="D1233" s="68">
        <f t="shared" si="475"/>
        <v>0.75</v>
      </c>
      <c r="E1233" s="66">
        <f t="shared" si="476"/>
        <v>0</v>
      </c>
      <c r="F1233" s="71">
        <v>0.75</v>
      </c>
      <c r="G1233" s="61">
        <v>0.25</v>
      </c>
      <c r="H1233" s="68"/>
    </row>
    <row r="1234" spans="1:8" x14ac:dyDescent="0.25">
      <c r="A1234" s="61">
        <v>7</v>
      </c>
      <c r="B1234" s="76" t="s">
        <v>45</v>
      </c>
      <c r="C1234" s="68">
        <f>3-1</f>
        <v>2</v>
      </c>
      <c r="D1234" s="68">
        <f t="shared" si="475"/>
        <v>1.5</v>
      </c>
      <c r="E1234" s="66">
        <f t="shared" si="476"/>
        <v>0</v>
      </c>
      <c r="F1234" s="71">
        <f>0.75+0.75</f>
        <v>1.5</v>
      </c>
      <c r="G1234" s="68">
        <f>1-0.75+0.25</f>
        <v>0.5</v>
      </c>
      <c r="H1234" s="68"/>
    </row>
    <row r="1235" spans="1:8" x14ac:dyDescent="0.25">
      <c r="A1235" s="61"/>
      <c r="B1235" s="72" t="s">
        <v>57</v>
      </c>
      <c r="C1235" s="73">
        <f t="shared" ref="C1235:H1235" si="477">SUM(C1228:C1234)</f>
        <v>12</v>
      </c>
      <c r="D1235" s="73">
        <f t="shared" si="477"/>
        <v>8.75</v>
      </c>
      <c r="E1235" s="73">
        <f t="shared" si="477"/>
        <v>0</v>
      </c>
      <c r="F1235" s="74">
        <f t="shared" si="477"/>
        <v>8.75</v>
      </c>
      <c r="G1235" s="73">
        <f t="shared" si="477"/>
        <v>3.25</v>
      </c>
      <c r="H1235" s="73">
        <f t="shared" si="477"/>
        <v>0</v>
      </c>
    </row>
    <row r="1236" spans="1:8" x14ac:dyDescent="0.25">
      <c r="A1236" s="56"/>
      <c r="B1236" s="33" t="s">
        <v>245</v>
      </c>
      <c r="C1236" s="73"/>
      <c r="D1236" s="73"/>
      <c r="E1236" s="73"/>
      <c r="F1236" s="74"/>
      <c r="G1236" s="60"/>
      <c r="H1236" s="61"/>
    </row>
    <row r="1237" spans="1:8" x14ac:dyDescent="0.25">
      <c r="A1237" s="56">
        <v>1</v>
      </c>
      <c r="B1237" s="86" t="s">
        <v>53</v>
      </c>
      <c r="C1237" s="66">
        <v>1</v>
      </c>
      <c r="D1237" s="66">
        <f>C1237-G1237-H1237</f>
        <v>0.25</v>
      </c>
      <c r="E1237" s="66">
        <f>D1237-F1237</f>
        <v>0.25</v>
      </c>
      <c r="F1237" s="67"/>
      <c r="G1237" s="60">
        <f>0.25+0.5</f>
        <v>0.75</v>
      </c>
      <c r="H1237" s="68"/>
    </row>
    <row r="1238" spans="1:8" x14ac:dyDescent="0.25">
      <c r="A1238" s="56">
        <v>2</v>
      </c>
      <c r="B1238" s="65" t="s">
        <v>246</v>
      </c>
      <c r="C1238" s="68">
        <v>1</v>
      </c>
      <c r="D1238" s="68">
        <f>C1238-G1238-H1238</f>
        <v>0</v>
      </c>
      <c r="E1238" s="66">
        <f>D1238-F1238</f>
        <v>0</v>
      </c>
      <c r="F1238" s="71"/>
      <c r="G1238" s="102">
        <v>1</v>
      </c>
      <c r="H1238" s="68"/>
    </row>
    <row r="1239" spans="1:8" x14ac:dyDescent="0.25">
      <c r="A1239" s="56">
        <v>3</v>
      </c>
      <c r="B1239" s="65" t="s">
        <v>45</v>
      </c>
      <c r="C1239" s="68">
        <v>1</v>
      </c>
      <c r="D1239" s="68">
        <f>C1239-G1239-H1239</f>
        <v>0.25</v>
      </c>
      <c r="E1239" s="66">
        <f>D1239-F1239</f>
        <v>0.25</v>
      </c>
      <c r="F1239" s="71"/>
      <c r="G1239" s="60">
        <f>0.25+0.5</f>
        <v>0.75</v>
      </c>
      <c r="H1239" s="68"/>
    </row>
    <row r="1240" spans="1:8" x14ac:dyDescent="0.25">
      <c r="A1240" s="56"/>
      <c r="B1240" s="106" t="s">
        <v>20</v>
      </c>
      <c r="C1240" s="73">
        <f t="shared" ref="C1240:H1240" si="478">SUM(C1237:C1239)</f>
        <v>3</v>
      </c>
      <c r="D1240" s="73">
        <f t="shared" si="478"/>
        <v>0.5</v>
      </c>
      <c r="E1240" s="73">
        <f t="shared" si="478"/>
        <v>0.5</v>
      </c>
      <c r="F1240" s="74">
        <f t="shared" si="478"/>
        <v>0</v>
      </c>
      <c r="G1240" s="73">
        <f t="shared" si="478"/>
        <v>2.5</v>
      </c>
      <c r="H1240" s="73">
        <f t="shared" si="478"/>
        <v>0</v>
      </c>
    </row>
    <row r="1241" spans="1:8" x14ac:dyDescent="0.25">
      <c r="A1241" s="56"/>
      <c r="B1241" s="79" t="s">
        <v>247</v>
      </c>
      <c r="C1241" s="73"/>
      <c r="D1241" s="73"/>
      <c r="E1241" s="73"/>
      <c r="F1241" s="74"/>
      <c r="G1241" s="60"/>
      <c r="H1241" s="61"/>
    </row>
    <row r="1242" spans="1:8" ht="26.25" x14ac:dyDescent="0.25">
      <c r="A1242" s="61">
        <v>1</v>
      </c>
      <c r="B1242" s="88" t="s">
        <v>248</v>
      </c>
      <c r="C1242" s="66">
        <v>1</v>
      </c>
      <c r="D1242" s="66">
        <f>C1242-G1242-H1242</f>
        <v>0.75</v>
      </c>
      <c r="E1242" s="66">
        <f>D1242-F1242</f>
        <v>0.75</v>
      </c>
      <c r="F1242" s="67"/>
      <c r="G1242" s="61">
        <v>0.25</v>
      </c>
      <c r="H1242" s="68"/>
    </row>
    <row r="1243" spans="1:8" x14ac:dyDescent="0.25">
      <c r="A1243" s="61">
        <v>2</v>
      </c>
      <c r="B1243" s="88" t="s">
        <v>249</v>
      </c>
      <c r="C1243" s="66">
        <v>1</v>
      </c>
      <c r="D1243" s="66">
        <f>C1243-G1243-H1243</f>
        <v>0.75</v>
      </c>
      <c r="E1243" s="66">
        <f>D1243-F1243</f>
        <v>0.75</v>
      </c>
      <c r="F1243" s="67"/>
      <c r="G1243" s="61">
        <v>0.25</v>
      </c>
      <c r="H1243" s="68"/>
    </row>
    <row r="1244" spans="1:8" x14ac:dyDescent="0.25">
      <c r="A1244" s="61"/>
      <c r="B1244" s="106" t="s">
        <v>20</v>
      </c>
      <c r="C1244" s="73">
        <f t="shared" ref="C1244:H1244" si="479">SUM(C1242:C1243)</f>
        <v>2</v>
      </c>
      <c r="D1244" s="73">
        <f t="shared" si="479"/>
        <v>1.5</v>
      </c>
      <c r="E1244" s="73">
        <f t="shared" si="479"/>
        <v>1.5</v>
      </c>
      <c r="F1244" s="74">
        <f t="shared" si="479"/>
        <v>0</v>
      </c>
      <c r="G1244" s="73">
        <f t="shared" si="479"/>
        <v>0.5</v>
      </c>
      <c r="H1244" s="73">
        <f t="shared" si="479"/>
        <v>0</v>
      </c>
    </row>
    <row r="1245" spans="1:8" x14ac:dyDescent="0.25">
      <c r="A1245" s="61"/>
      <c r="B1245" s="106"/>
      <c r="C1245" s="73"/>
      <c r="D1245" s="73"/>
      <c r="E1245" s="73"/>
      <c r="F1245" s="74"/>
      <c r="G1245" s="73"/>
      <c r="H1245" s="73"/>
    </row>
    <row r="1246" spans="1:8" x14ac:dyDescent="0.25">
      <c r="A1246" s="61"/>
      <c r="B1246" s="79" t="s">
        <v>98</v>
      </c>
      <c r="C1246" s="66"/>
      <c r="D1246" s="66"/>
      <c r="E1246" s="66"/>
      <c r="F1246" s="67"/>
      <c r="G1246" s="60"/>
      <c r="H1246" s="61"/>
    </row>
    <row r="1247" spans="1:8" x14ac:dyDescent="0.25">
      <c r="A1247" s="61">
        <v>1</v>
      </c>
      <c r="B1247" s="60" t="s">
        <v>100</v>
      </c>
      <c r="C1247" s="68">
        <v>1</v>
      </c>
      <c r="D1247" s="68">
        <f t="shared" ref="D1247:D1261" si="480">C1247-G1247-H1247</f>
        <v>0.75</v>
      </c>
      <c r="E1247" s="66">
        <f t="shared" ref="E1247:E1261" si="481">D1247-F1247</f>
        <v>0.75</v>
      </c>
      <c r="F1247" s="71"/>
      <c r="G1247" s="61">
        <v>0.25</v>
      </c>
      <c r="H1247" s="68"/>
    </row>
    <row r="1248" spans="1:8" x14ac:dyDescent="0.25">
      <c r="A1248" s="61">
        <v>2</v>
      </c>
      <c r="B1248" s="76" t="s">
        <v>439</v>
      </c>
      <c r="C1248" s="68">
        <v>1</v>
      </c>
      <c r="D1248" s="68">
        <f t="shared" si="480"/>
        <v>1</v>
      </c>
      <c r="E1248" s="66">
        <f t="shared" si="481"/>
        <v>1</v>
      </c>
      <c r="F1248" s="71"/>
      <c r="G1248" s="61"/>
      <c r="H1248" s="68"/>
    </row>
    <row r="1249" spans="1:9" x14ac:dyDescent="0.25">
      <c r="A1249" s="61">
        <v>3</v>
      </c>
      <c r="B1249" s="65" t="s">
        <v>299</v>
      </c>
      <c r="C1249" s="68">
        <f>2+1-2.5+0.5</f>
        <v>1</v>
      </c>
      <c r="D1249" s="68">
        <f t="shared" si="480"/>
        <v>0.5</v>
      </c>
      <c r="E1249" s="66">
        <f t="shared" si="481"/>
        <v>0.5</v>
      </c>
      <c r="F1249" s="71"/>
      <c r="G1249" s="68">
        <v>0.5</v>
      </c>
      <c r="H1249" s="68"/>
    </row>
    <row r="1250" spans="1:9" ht="26.25" x14ac:dyDescent="0.25">
      <c r="A1250" s="61">
        <v>4</v>
      </c>
      <c r="B1250" s="88" t="s">
        <v>101</v>
      </c>
      <c r="C1250" s="68">
        <f>1+1</f>
        <v>2</v>
      </c>
      <c r="D1250" s="68">
        <f t="shared" si="480"/>
        <v>1.5</v>
      </c>
      <c r="E1250" s="66">
        <f t="shared" si="481"/>
        <v>1.5</v>
      </c>
      <c r="F1250" s="71"/>
      <c r="G1250" s="68">
        <v>0.5</v>
      </c>
      <c r="H1250" s="68"/>
    </row>
    <row r="1251" spans="1:9" x14ac:dyDescent="0.25">
      <c r="A1251" s="61">
        <v>5</v>
      </c>
      <c r="B1251" s="65" t="s">
        <v>102</v>
      </c>
      <c r="C1251" s="68">
        <v>2</v>
      </c>
      <c r="D1251" s="68">
        <f t="shared" si="480"/>
        <v>1.5</v>
      </c>
      <c r="E1251" s="66">
        <f t="shared" si="481"/>
        <v>1.5</v>
      </c>
      <c r="F1251" s="71"/>
      <c r="G1251" s="68">
        <v>0.5</v>
      </c>
      <c r="H1251" s="68"/>
    </row>
    <row r="1252" spans="1:9" x14ac:dyDescent="0.25">
      <c r="A1252" s="61">
        <v>6</v>
      </c>
      <c r="B1252" s="65" t="s">
        <v>255</v>
      </c>
      <c r="C1252" s="68">
        <f>1+1+3.75</f>
        <v>5.75</v>
      </c>
      <c r="D1252" s="68">
        <f t="shared" si="480"/>
        <v>4.5</v>
      </c>
      <c r="E1252" s="66">
        <f t="shared" si="481"/>
        <v>4.5</v>
      </c>
      <c r="F1252" s="71"/>
      <c r="G1252" s="68">
        <v>1.25</v>
      </c>
      <c r="H1252" s="68"/>
    </row>
    <row r="1253" spans="1:9" x14ac:dyDescent="0.25">
      <c r="A1253" s="61">
        <v>7</v>
      </c>
      <c r="B1253" s="65" t="s">
        <v>597</v>
      </c>
      <c r="C1253" s="68">
        <v>1</v>
      </c>
      <c r="D1253" s="68">
        <f t="shared" si="480"/>
        <v>0.75</v>
      </c>
      <c r="E1253" s="66">
        <f t="shared" si="481"/>
        <v>0.75</v>
      </c>
      <c r="F1253" s="71"/>
      <c r="G1253" s="68">
        <v>0.25</v>
      </c>
      <c r="H1253" s="68"/>
    </row>
    <row r="1254" spans="1:9" x14ac:dyDescent="0.25">
      <c r="A1254" s="61">
        <v>8</v>
      </c>
      <c r="B1254" s="65" t="s">
        <v>103</v>
      </c>
      <c r="C1254" s="68">
        <v>1</v>
      </c>
      <c r="D1254" s="68">
        <f t="shared" si="480"/>
        <v>0.75</v>
      </c>
      <c r="E1254" s="66">
        <f t="shared" si="481"/>
        <v>0.75</v>
      </c>
      <c r="F1254" s="71"/>
      <c r="G1254" s="68">
        <v>0.25</v>
      </c>
      <c r="H1254" s="68"/>
    </row>
    <row r="1255" spans="1:9" x14ac:dyDescent="0.25">
      <c r="A1255" s="61">
        <v>9</v>
      </c>
      <c r="B1255" s="65" t="s">
        <v>252</v>
      </c>
      <c r="C1255" s="68">
        <v>1</v>
      </c>
      <c r="D1255" s="68">
        <f t="shared" si="480"/>
        <v>0.75</v>
      </c>
      <c r="E1255" s="66">
        <f t="shared" si="481"/>
        <v>0.75</v>
      </c>
      <c r="F1255" s="71"/>
      <c r="G1255" s="68">
        <v>0.25</v>
      </c>
      <c r="H1255" s="68"/>
    </row>
    <row r="1256" spans="1:9" x14ac:dyDescent="0.25">
      <c r="A1256" s="61">
        <v>10</v>
      </c>
      <c r="B1256" s="65" t="s">
        <v>253</v>
      </c>
      <c r="C1256" s="68">
        <v>1</v>
      </c>
      <c r="D1256" s="68">
        <f t="shared" si="480"/>
        <v>0.75</v>
      </c>
      <c r="E1256" s="66">
        <f t="shared" si="481"/>
        <v>0.75</v>
      </c>
      <c r="F1256" s="71"/>
      <c r="G1256" s="68">
        <v>0.25</v>
      </c>
      <c r="H1256" s="68"/>
    </row>
    <row r="1257" spans="1:9" x14ac:dyDescent="0.25">
      <c r="A1257" s="61">
        <v>11</v>
      </c>
      <c r="B1257" s="65" t="s">
        <v>106</v>
      </c>
      <c r="C1257" s="68">
        <f>6-1-2</f>
        <v>3</v>
      </c>
      <c r="D1257" s="68">
        <f t="shared" si="480"/>
        <v>2.5</v>
      </c>
      <c r="E1257" s="66">
        <f t="shared" si="481"/>
        <v>2.5</v>
      </c>
      <c r="F1257" s="71"/>
      <c r="G1257" s="68">
        <v>0.5</v>
      </c>
      <c r="H1257" s="68"/>
    </row>
    <row r="1258" spans="1:9" x14ac:dyDescent="0.25">
      <c r="A1258" s="61">
        <v>12</v>
      </c>
      <c r="B1258" s="65" t="s">
        <v>108</v>
      </c>
      <c r="C1258" s="68">
        <v>3</v>
      </c>
      <c r="D1258" s="68">
        <f t="shared" si="480"/>
        <v>2.25</v>
      </c>
      <c r="E1258" s="66">
        <f t="shared" si="481"/>
        <v>2.25</v>
      </c>
      <c r="F1258" s="71"/>
      <c r="G1258" s="68">
        <v>0.75</v>
      </c>
      <c r="H1258" s="68"/>
    </row>
    <row r="1259" spans="1:9" x14ac:dyDescent="0.25">
      <c r="A1259" s="61">
        <v>13</v>
      </c>
      <c r="B1259" s="65" t="s">
        <v>105</v>
      </c>
      <c r="C1259" s="68">
        <f>4.75+1</f>
        <v>5.75</v>
      </c>
      <c r="D1259" s="68">
        <f t="shared" si="480"/>
        <v>4.75</v>
      </c>
      <c r="E1259" s="66">
        <f t="shared" si="481"/>
        <v>4.75</v>
      </c>
      <c r="F1259" s="71"/>
      <c r="G1259" s="68">
        <v>1</v>
      </c>
      <c r="H1259" s="68"/>
    </row>
    <row r="1260" spans="1:9" x14ac:dyDescent="0.25">
      <c r="A1260" s="61">
        <v>14</v>
      </c>
      <c r="B1260" s="65" t="s">
        <v>316</v>
      </c>
      <c r="C1260" s="68">
        <v>2</v>
      </c>
      <c r="D1260" s="68">
        <f t="shared" si="480"/>
        <v>1.5</v>
      </c>
      <c r="E1260" s="66">
        <f t="shared" si="481"/>
        <v>1.5</v>
      </c>
      <c r="F1260" s="71"/>
      <c r="G1260" s="68">
        <v>0.5</v>
      </c>
      <c r="H1260" s="68"/>
    </row>
    <row r="1261" spans="1:9" x14ac:dyDescent="0.25">
      <c r="A1261" s="61">
        <v>15</v>
      </c>
      <c r="B1261" s="76" t="s">
        <v>104</v>
      </c>
      <c r="C1261" s="68">
        <v>4</v>
      </c>
      <c r="D1261" s="68">
        <f t="shared" si="480"/>
        <v>3</v>
      </c>
      <c r="E1261" s="66">
        <f t="shared" si="481"/>
        <v>3</v>
      </c>
      <c r="F1261" s="71"/>
      <c r="G1261" s="68">
        <f>0.5+0.5</f>
        <v>1</v>
      </c>
      <c r="H1261" s="68"/>
    </row>
    <row r="1262" spans="1:9" x14ac:dyDescent="0.25">
      <c r="A1262" s="61"/>
      <c r="B1262" s="72" t="s">
        <v>54</v>
      </c>
      <c r="C1262" s="73">
        <f t="shared" ref="C1262:H1262" si="482">SUM(C1247:C1261)</f>
        <v>34.5</v>
      </c>
      <c r="D1262" s="73">
        <f t="shared" si="482"/>
        <v>26.75</v>
      </c>
      <c r="E1262" s="73">
        <f t="shared" si="482"/>
        <v>26.75</v>
      </c>
      <c r="F1262" s="74">
        <f t="shared" si="482"/>
        <v>0</v>
      </c>
      <c r="G1262" s="73">
        <f t="shared" si="482"/>
        <v>7.75</v>
      </c>
      <c r="H1262" s="73">
        <f t="shared" si="482"/>
        <v>0</v>
      </c>
    </row>
    <row r="1263" spans="1:9" x14ac:dyDescent="0.25">
      <c r="A1263" s="61"/>
      <c r="B1263" s="100" t="s">
        <v>300</v>
      </c>
      <c r="C1263" s="73"/>
      <c r="D1263" s="73"/>
      <c r="E1263" s="73"/>
      <c r="F1263" s="74"/>
      <c r="G1263" s="60"/>
      <c r="H1263" s="61"/>
    </row>
    <row r="1264" spans="1:9" x14ac:dyDescent="0.25">
      <c r="A1264" s="61">
        <v>1</v>
      </c>
      <c r="B1264" s="86" t="s">
        <v>208</v>
      </c>
      <c r="C1264" s="66">
        <v>1</v>
      </c>
      <c r="D1264" s="66">
        <f t="shared" ref="D1264:D1273" si="483">C1264-G1264-H1264</f>
        <v>0.25</v>
      </c>
      <c r="E1264" s="66">
        <f t="shared" ref="E1264:E1273" si="484">D1264-F1264</f>
        <v>0.25</v>
      </c>
      <c r="F1264" s="67"/>
      <c r="G1264" s="61">
        <f>0.25+0.5</f>
        <v>0.75</v>
      </c>
      <c r="H1264" s="68"/>
      <c r="I1264" s="4"/>
    </row>
    <row r="1265" spans="1:9" x14ac:dyDescent="0.25">
      <c r="A1265" s="61">
        <v>2</v>
      </c>
      <c r="B1265" s="86" t="s">
        <v>317</v>
      </c>
      <c r="C1265" s="167">
        <v>1</v>
      </c>
      <c r="D1265" s="167">
        <f t="shared" si="483"/>
        <v>0.25</v>
      </c>
      <c r="E1265" s="66">
        <f t="shared" si="484"/>
        <v>0.25</v>
      </c>
      <c r="F1265" s="168"/>
      <c r="G1265" s="61">
        <f>0.25+0.5</f>
        <v>0.75</v>
      </c>
      <c r="H1265" s="68"/>
    </row>
    <row r="1266" spans="1:9" x14ac:dyDescent="0.25">
      <c r="A1266" s="61">
        <v>3</v>
      </c>
      <c r="B1266" s="86" t="s">
        <v>257</v>
      </c>
      <c r="C1266" s="66">
        <v>1</v>
      </c>
      <c r="D1266" s="66">
        <f t="shared" si="483"/>
        <v>0.25</v>
      </c>
      <c r="E1266" s="66">
        <f t="shared" si="484"/>
        <v>0.25</v>
      </c>
      <c r="F1266" s="67"/>
      <c r="G1266" s="61">
        <f>0.25+0.5</f>
        <v>0.75</v>
      </c>
      <c r="H1266" s="68"/>
    </row>
    <row r="1267" spans="1:9" x14ac:dyDescent="0.25">
      <c r="A1267" s="61">
        <v>4</v>
      </c>
      <c r="B1267" s="86" t="s">
        <v>439</v>
      </c>
      <c r="C1267" s="66">
        <v>1</v>
      </c>
      <c r="D1267" s="66">
        <f t="shared" si="483"/>
        <v>0.25</v>
      </c>
      <c r="E1267" s="66">
        <f t="shared" si="484"/>
        <v>0.25</v>
      </c>
      <c r="F1267" s="67"/>
      <c r="G1267" s="61">
        <f>0.25+0.5</f>
        <v>0.75</v>
      </c>
      <c r="H1267" s="68"/>
    </row>
    <row r="1268" spans="1:9" x14ac:dyDescent="0.25">
      <c r="A1268" s="61">
        <v>5</v>
      </c>
      <c r="B1268" s="76" t="s">
        <v>258</v>
      </c>
      <c r="C1268" s="68">
        <v>1</v>
      </c>
      <c r="D1268" s="68">
        <f t="shared" si="483"/>
        <v>0.25</v>
      </c>
      <c r="E1268" s="66">
        <f t="shared" si="484"/>
        <v>0.25</v>
      </c>
      <c r="F1268" s="71"/>
      <c r="G1268" s="61">
        <f>0.25+0.5</f>
        <v>0.75</v>
      </c>
      <c r="H1268" s="68"/>
    </row>
    <row r="1269" spans="1:9" x14ac:dyDescent="0.25">
      <c r="A1269" s="61">
        <v>6</v>
      </c>
      <c r="B1269" s="60" t="s">
        <v>259</v>
      </c>
      <c r="C1269" s="68">
        <f>3+2</f>
        <v>5</v>
      </c>
      <c r="D1269" s="68">
        <f t="shared" si="483"/>
        <v>1.25</v>
      </c>
      <c r="E1269" s="66">
        <f t="shared" si="484"/>
        <v>1.25</v>
      </c>
      <c r="F1269" s="71"/>
      <c r="G1269" s="68">
        <f>0.5+0.25+0.75+2.25</f>
        <v>3.75</v>
      </c>
      <c r="H1269" s="68"/>
    </row>
    <row r="1270" spans="1:9" x14ac:dyDescent="0.25">
      <c r="A1270" s="61">
        <v>7</v>
      </c>
      <c r="B1270" s="60" t="s">
        <v>260</v>
      </c>
      <c r="C1270" s="68">
        <f>4+2-1+1</f>
        <v>6</v>
      </c>
      <c r="D1270" s="68">
        <f t="shared" si="483"/>
        <v>1.5</v>
      </c>
      <c r="E1270" s="66">
        <f t="shared" si="484"/>
        <v>1.5</v>
      </c>
      <c r="F1270" s="71"/>
      <c r="G1270" s="68">
        <f>0.5+1+0.5+0.75-1.25+3</f>
        <v>4.5</v>
      </c>
      <c r="H1270" s="68"/>
    </row>
    <row r="1271" spans="1:9" x14ac:dyDescent="0.25">
      <c r="A1271" s="61">
        <v>8</v>
      </c>
      <c r="B1271" s="60" t="s">
        <v>318</v>
      </c>
      <c r="C1271" s="68">
        <f>5+1</f>
        <v>6</v>
      </c>
      <c r="D1271" s="68">
        <f t="shared" si="483"/>
        <v>1.5</v>
      </c>
      <c r="E1271" s="66">
        <f t="shared" si="484"/>
        <v>1.5</v>
      </c>
      <c r="F1271" s="71"/>
      <c r="G1271" s="68">
        <f>0.5+0.25+1+2.75</f>
        <v>4.5</v>
      </c>
      <c r="H1271" s="68"/>
    </row>
    <row r="1272" spans="1:9" x14ac:dyDescent="0.25">
      <c r="A1272" s="61">
        <v>9</v>
      </c>
      <c r="B1272" s="65" t="s">
        <v>299</v>
      </c>
      <c r="C1272" s="68">
        <f>2.5+1+0.5</f>
        <v>4</v>
      </c>
      <c r="D1272" s="68">
        <f t="shared" si="483"/>
        <v>1</v>
      </c>
      <c r="E1272" s="66">
        <f t="shared" si="484"/>
        <v>1</v>
      </c>
      <c r="F1272" s="71"/>
      <c r="G1272" s="68">
        <f>0.5+0.75+0.25+1.5</f>
        <v>3</v>
      </c>
      <c r="H1272" s="68"/>
    </row>
    <row r="1273" spans="1:9" x14ac:dyDescent="0.25">
      <c r="A1273" s="61">
        <v>10</v>
      </c>
      <c r="B1273" s="60" t="s">
        <v>106</v>
      </c>
      <c r="C1273" s="68">
        <f>1+1.5</f>
        <v>2.5</v>
      </c>
      <c r="D1273" s="68">
        <f t="shared" si="483"/>
        <v>1</v>
      </c>
      <c r="E1273" s="66">
        <f t="shared" si="484"/>
        <v>1</v>
      </c>
      <c r="F1273" s="71"/>
      <c r="G1273" s="68">
        <f>0.5+0.25+0.75</f>
        <v>1.5</v>
      </c>
      <c r="H1273" s="68"/>
    </row>
    <row r="1274" spans="1:9" x14ac:dyDescent="0.25">
      <c r="A1274" s="61"/>
      <c r="B1274" s="72" t="s">
        <v>54</v>
      </c>
      <c r="C1274" s="73">
        <f t="shared" ref="C1274:H1274" si="485">SUM(C1264:C1273)</f>
        <v>28.5</v>
      </c>
      <c r="D1274" s="73">
        <f t="shared" si="485"/>
        <v>7.5</v>
      </c>
      <c r="E1274" s="73">
        <f t="shared" si="485"/>
        <v>7.5</v>
      </c>
      <c r="F1274" s="74">
        <f t="shared" si="485"/>
        <v>0</v>
      </c>
      <c r="G1274" s="73">
        <f t="shared" si="485"/>
        <v>21</v>
      </c>
      <c r="H1274" s="73">
        <f t="shared" si="485"/>
        <v>0</v>
      </c>
    </row>
    <row r="1275" spans="1:9" ht="31.5" x14ac:dyDescent="0.25">
      <c r="A1275" s="56"/>
      <c r="B1275" s="282" t="s">
        <v>319</v>
      </c>
      <c r="C1275" s="94">
        <f>C1274+C1262+C1244+C1240+C1235+C1222+C1170+C1140+C1124+C1107+C1091+C1085+C1155+C1190+C1211</f>
        <v>246.25</v>
      </c>
      <c r="D1275" s="94">
        <f t="shared" ref="D1275:H1275" si="486">D1274+D1262+D1244+D1240+D1235+D1222+D1170+D1140+D1124+D1107+D1091+D1085+D1155+D1190+D1211</f>
        <v>133.75</v>
      </c>
      <c r="E1275" s="94">
        <f t="shared" si="486"/>
        <v>43.75</v>
      </c>
      <c r="F1275" s="94">
        <f t="shared" si="486"/>
        <v>90</v>
      </c>
      <c r="G1275" s="94">
        <f t="shared" si="486"/>
        <v>99.25</v>
      </c>
      <c r="H1275" s="94">
        <f t="shared" si="486"/>
        <v>13.25</v>
      </c>
      <c r="I1275" s="3">
        <f>SUM(E1275:H1275)</f>
        <v>246.25</v>
      </c>
    </row>
    <row r="1276" spans="1:9" x14ac:dyDescent="0.25">
      <c r="A1276" s="56"/>
      <c r="B1276" s="96" t="s">
        <v>131</v>
      </c>
      <c r="C1276" s="97">
        <f>SUM(C1277:C1280)</f>
        <v>246.25</v>
      </c>
      <c r="D1276" s="97">
        <f t="shared" ref="D1276" si="487">SUM(D1277:D1280)</f>
        <v>133.75</v>
      </c>
      <c r="E1276" s="97">
        <f t="shared" ref="E1276" si="488">SUM(E1277:E1280)</f>
        <v>43.75</v>
      </c>
      <c r="F1276" s="97">
        <f t="shared" ref="F1276" si="489">SUM(F1277:F1280)</f>
        <v>90</v>
      </c>
      <c r="G1276" s="97">
        <f t="shared" ref="G1276" si="490">SUM(G1277:G1280)</f>
        <v>99.25</v>
      </c>
      <c r="H1276" s="97">
        <f t="shared" ref="H1276:I1276" si="491">SUM(H1277:H1280)</f>
        <v>13.25</v>
      </c>
      <c r="I1276" s="16">
        <f t="shared" si="491"/>
        <v>246.25</v>
      </c>
    </row>
    <row r="1277" spans="1:9" x14ac:dyDescent="0.25">
      <c r="A1277" s="56"/>
      <c r="B1277" s="99" t="s">
        <v>28</v>
      </c>
      <c r="C1277" s="94">
        <f>C1229+C1228+C1224+C1172+C1142+C1126+C1109+C1086+C1157+C1192+C1213</f>
        <v>44</v>
      </c>
      <c r="D1277" s="94">
        <f t="shared" ref="D1277:H1277" si="492">D1229+D1228+D1224+D1172+D1142+D1126+D1109+D1086+D1157+D1192+D1213</f>
        <v>20.75</v>
      </c>
      <c r="E1277" s="94">
        <f t="shared" si="492"/>
        <v>3.5</v>
      </c>
      <c r="F1277" s="94">
        <f t="shared" si="492"/>
        <v>17.25</v>
      </c>
      <c r="G1277" s="94">
        <f t="shared" si="492"/>
        <v>18.75</v>
      </c>
      <c r="H1277" s="94">
        <f t="shared" si="492"/>
        <v>4.5</v>
      </c>
      <c r="I1277" s="3">
        <f t="shared" ref="I1277:I1280" si="493">SUM(E1277:H1277)</f>
        <v>44</v>
      </c>
    </row>
    <row r="1278" spans="1:9" x14ac:dyDescent="0.25">
      <c r="A1278" s="56"/>
      <c r="B1278" s="99" t="s">
        <v>29</v>
      </c>
      <c r="C1278" s="94">
        <f>C1238+C1237+C1231+C1230+C1225+C1173+C1143+C1127+C1110+C1089+C1087+C1158+C1193+C1214+C1264+C1232</f>
        <v>82.75</v>
      </c>
      <c r="D1278" s="94">
        <f t="shared" ref="D1278:H1278" si="494">D1238+D1237+D1231+D1230+D1225+D1173+D1143+D1127+D1110+D1089+D1087+D1158+D1193+D1214+D1264+D1232</f>
        <v>47</v>
      </c>
      <c r="E1278" s="94">
        <f t="shared" si="494"/>
        <v>2</v>
      </c>
      <c r="F1278" s="94">
        <f t="shared" si="494"/>
        <v>45</v>
      </c>
      <c r="G1278" s="94">
        <f t="shared" si="494"/>
        <v>31.25</v>
      </c>
      <c r="H1278" s="94">
        <f t="shared" si="494"/>
        <v>4.5</v>
      </c>
      <c r="I1278" s="3">
        <f t="shared" si="493"/>
        <v>82.75</v>
      </c>
    </row>
    <row r="1279" spans="1:9" x14ac:dyDescent="0.25">
      <c r="A1279" s="56"/>
      <c r="B1279" s="99" t="s">
        <v>262</v>
      </c>
      <c r="C1279" s="94">
        <f>C1239+C1234+C1233+C1226+C1174+C1144+C1128+C1111+C1159+C1194+C1215</f>
        <v>53</v>
      </c>
      <c r="D1279" s="94">
        <f t="shared" ref="D1279:H1279" si="495">D1239+D1234+D1233+D1226+D1174+D1144+D1128+D1111+D1159+D1194+D1215</f>
        <v>28</v>
      </c>
      <c r="E1279" s="94">
        <f t="shared" si="495"/>
        <v>0.25</v>
      </c>
      <c r="F1279" s="94">
        <f t="shared" si="495"/>
        <v>27.75</v>
      </c>
      <c r="G1279" s="94">
        <f t="shared" si="495"/>
        <v>20.75</v>
      </c>
      <c r="H1279" s="94">
        <f t="shared" si="495"/>
        <v>4.25</v>
      </c>
      <c r="I1279" s="3">
        <f t="shared" si="493"/>
        <v>53</v>
      </c>
    </row>
    <row r="1280" spans="1:9" x14ac:dyDescent="0.25">
      <c r="A1280" s="56"/>
      <c r="B1280" s="99" t="s">
        <v>30</v>
      </c>
      <c r="C1280" s="94">
        <f>C1274+C1262+C1244+C1090-C1264+C1189+C1188</f>
        <v>66.5</v>
      </c>
      <c r="D1280" s="94">
        <f t="shared" ref="D1280:H1280" si="496">D1274+D1262+D1244+D1090-D1264+D1189+D1188</f>
        <v>38</v>
      </c>
      <c r="E1280" s="94">
        <f t="shared" si="496"/>
        <v>38</v>
      </c>
      <c r="F1280" s="94">
        <f t="shared" si="496"/>
        <v>0</v>
      </c>
      <c r="G1280" s="94">
        <f t="shared" si="496"/>
        <v>28.5</v>
      </c>
      <c r="H1280" s="94">
        <f t="shared" si="496"/>
        <v>0</v>
      </c>
      <c r="I1280" s="3">
        <f t="shared" si="493"/>
        <v>66.5</v>
      </c>
    </row>
    <row r="1281" spans="1:8" ht="18.75" x14ac:dyDescent="0.3">
      <c r="A1281" s="61"/>
      <c r="B1281" s="283" t="s">
        <v>517</v>
      </c>
      <c r="C1281" s="217"/>
      <c r="D1281" s="217"/>
      <c r="E1281" s="217"/>
      <c r="F1281" s="218"/>
      <c r="G1281" s="60"/>
      <c r="H1281" s="61"/>
    </row>
    <row r="1282" spans="1:8" ht="18.75" x14ac:dyDescent="0.3">
      <c r="A1282" s="61"/>
      <c r="B1282" s="283" t="s">
        <v>616</v>
      </c>
      <c r="C1282" s="217"/>
      <c r="D1282" s="217"/>
      <c r="E1282" s="217"/>
      <c r="F1282" s="218"/>
      <c r="G1282" s="60"/>
      <c r="H1282" s="61"/>
    </row>
    <row r="1283" spans="1:8" x14ac:dyDescent="0.25">
      <c r="A1283" s="61"/>
      <c r="B1283" s="62" t="s">
        <v>15</v>
      </c>
      <c r="C1283" s="217"/>
      <c r="D1283" s="217"/>
      <c r="E1283" s="217"/>
      <c r="F1283" s="218"/>
      <c r="G1283" s="60"/>
      <c r="H1283" s="61"/>
    </row>
    <row r="1284" spans="1:8" x14ac:dyDescent="0.25">
      <c r="A1284" s="61">
        <v>1</v>
      </c>
      <c r="B1284" s="76" t="s">
        <v>263</v>
      </c>
      <c r="C1284" s="66">
        <v>1</v>
      </c>
      <c r="D1284" s="66">
        <f t="shared" ref="D1284:D1289" si="497">C1284-G1284-H1284</f>
        <v>0.5</v>
      </c>
      <c r="E1284" s="66">
        <f t="shared" ref="E1284:E1289" si="498">D1284-F1284</f>
        <v>0.5</v>
      </c>
      <c r="F1284" s="67"/>
      <c r="G1284" s="68">
        <v>0.5</v>
      </c>
      <c r="H1284" s="68"/>
    </row>
    <row r="1285" spans="1:8" ht="26.25" x14ac:dyDescent="0.25">
      <c r="A1285" s="61">
        <v>2</v>
      </c>
      <c r="B1285" s="88" t="s">
        <v>207</v>
      </c>
      <c r="C1285" s="66">
        <v>1</v>
      </c>
      <c r="D1285" s="66">
        <f t="shared" si="497"/>
        <v>0.5</v>
      </c>
      <c r="E1285" s="66">
        <f t="shared" si="498"/>
        <v>0.5</v>
      </c>
      <c r="F1285" s="67"/>
      <c r="G1285" s="68">
        <v>0.5</v>
      </c>
      <c r="H1285" s="68"/>
    </row>
    <row r="1286" spans="1:8" ht="26.25" x14ac:dyDescent="0.25">
      <c r="A1286" s="61">
        <v>3</v>
      </c>
      <c r="B1286" s="88" t="s">
        <v>206</v>
      </c>
      <c r="C1286" s="66">
        <v>1</v>
      </c>
      <c r="D1286" s="66">
        <f t="shared" si="497"/>
        <v>0.5</v>
      </c>
      <c r="E1286" s="66">
        <f t="shared" si="498"/>
        <v>0.5</v>
      </c>
      <c r="F1286" s="67"/>
      <c r="G1286" s="68">
        <f>0.25+0.25</f>
        <v>0.5</v>
      </c>
      <c r="H1286" s="68"/>
    </row>
    <row r="1287" spans="1:8" x14ac:dyDescent="0.25">
      <c r="A1287" s="61">
        <v>4</v>
      </c>
      <c r="B1287" s="88" t="s">
        <v>81</v>
      </c>
      <c r="C1287" s="66">
        <f>0.5-0.25</f>
        <v>0.25</v>
      </c>
      <c r="D1287" s="66">
        <f t="shared" si="497"/>
        <v>0.25</v>
      </c>
      <c r="E1287" s="66">
        <f t="shared" si="498"/>
        <v>0.25</v>
      </c>
      <c r="F1287" s="67"/>
      <c r="G1287" s="61"/>
      <c r="H1287" s="68"/>
    </row>
    <row r="1288" spans="1:8" x14ac:dyDescent="0.25">
      <c r="A1288" s="61">
        <v>5</v>
      </c>
      <c r="B1288" s="86" t="s">
        <v>43</v>
      </c>
      <c r="C1288" s="66">
        <f>1+1</f>
        <v>2</v>
      </c>
      <c r="D1288" s="66">
        <f t="shared" si="497"/>
        <v>0.5</v>
      </c>
      <c r="E1288" s="66">
        <f t="shared" si="498"/>
        <v>0.5</v>
      </c>
      <c r="F1288" s="67"/>
      <c r="G1288" s="68">
        <f>0.5+1</f>
        <v>1.5</v>
      </c>
      <c r="H1288" s="68"/>
    </row>
    <row r="1289" spans="1:8" x14ac:dyDescent="0.25">
      <c r="A1289" s="61">
        <v>7</v>
      </c>
      <c r="B1289" s="86" t="s">
        <v>208</v>
      </c>
      <c r="C1289" s="66">
        <f>1+0.5</f>
        <v>1.5</v>
      </c>
      <c r="D1289" s="66">
        <f t="shared" si="497"/>
        <v>0.5</v>
      </c>
      <c r="E1289" s="66">
        <f t="shared" si="498"/>
        <v>0.5</v>
      </c>
      <c r="F1289" s="67"/>
      <c r="G1289" s="68">
        <f>0.25+0.25</f>
        <v>0.5</v>
      </c>
      <c r="H1289" s="68">
        <v>0.5</v>
      </c>
    </row>
    <row r="1290" spans="1:8" x14ac:dyDescent="0.25">
      <c r="A1290" s="61"/>
      <c r="B1290" s="267" t="s">
        <v>54</v>
      </c>
      <c r="C1290" s="217">
        <f t="shared" ref="C1290:H1290" si="499">SUM(C1284:C1289)</f>
        <v>6.75</v>
      </c>
      <c r="D1290" s="217">
        <f t="shared" si="499"/>
        <v>2.75</v>
      </c>
      <c r="E1290" s="217">
        <f t="shared" si="499"/>
        <v>2.75</v>
      </c>
      <c r="F1290" s="218">
        <f t="shared" si="499"/>
        <v>0</v>
      </c>
      <c r="G1290" s="217">
        <f t="shared" si="499"/>
        <v>3.5</v>
      </c>
      <c r="H1290" s="217">
        <f t="shared" si="499"/>
        <v>0.5</v>
      </c>
    </row>
    <row r="1291" spans="1:8" x14ac:dyDescent="0.25">
      <c r="A1291" s="61"/>
      <c r="B1291" s="267"/>
      <c r="C1291" s="83">
        <f t="shared" ref="C1291:H1291" si="500">SUM(C1292:C1293)</f>
        <v>6.75</v>
      </c>
      <c r="D1291" s="83">
        <f t="shared" si="500"/>
        <v>2.75</v>
      </c>
      <c r="E1291" s="83">
        <f t="shared" si="500"/>
        <v>2.75</v>
      </c>
      <c r="F1291" s="84">
        <f t="shared" si="500"/>
        <v>0</v>
      </c>
      <c r="G1291" s="83">
        <f t="shared" si="500"/>
        <v>3.5</v>
      </c>
      <c r="H1291" s="83">
        <f t="shared" si="500"/>
        <v>0.5</v>
      </c>
    </row>
    <row r="1292" spans="1:8" x14ac:dyDescent="0.25">
      <c r="A1292" s="61"/>
      <c r="B1292" s="284" t="s">
        <v>28</v>
      </c>
      <c r="C1292" s="217">
        <f t="shared" ref="C1292:H1292" si="501">SUM(C1284:C1287)</f>
        <v>3.25</v>
      </c>
      <c r="D1292" s="217">
        <f t="shared" si="501"/>
        <v>1.75</v>
      </c>
      <c r="E1292" s="217">
        <f t="shared" si="501"/>
        <v>1.75</v>
      </c>
      <c r="F1292" s="218">
        <f t="shared" si="501"/>
        <v>0</v>
      </c>
      <c r="G1292" s="217">
        <f t="shared" si="501"/>
        <v>1.5</v>
      </c>
      <c r="H1292" s="217">
        <f t="shared" si="501"/>
        <v>0</v>
      </c>
    </row>
    <row r="1293" spans="1:8" x14ac:dyDescent="0.25">
      <c r="A1293" s="61"/>
      <c r="B1293" s="284" t="s">
        <v>29</v>
      </c>
      <c r="C1293" s="217">
        <f t="shared" ref="C1293:H1293" si="502">SUM(C1288:C1289)</f>
        <v>3.5</v>
      </c>
      <c r="D1293" s="217">
        <f t="shared" si="502"/>
        <v>1</v>
      </c>
      <c r="E1293" s="217">
        <f t="shared" si="502"/>
        <v>1</v>
      </c>
      <c r="F1293" s="218">
        <f t="shared" si="502"/>
        <v>0</v>
      </c>
      <c r="G1293" s="217">
        <f t="shared" si="502"/>
        <v>2</v>
      </c>
      <c r="H1293" s="217">
        <f t="shared" si="502"/>
        <v>0.5</v>
      </c>
    </row>
    <row r="1294" spans="1:8" x14ac:dyDescent="0.25">
      <c r="A1294" s="56"/>
      <c r="B1294" s="33" t="s">
        <v>46</v>
      </c>
      <c r="C1294" s="73"/>
      <c r="D1294" s="73"/>
      <c r="E1294" s="73"/>
      <c r="F1294" s="74"/>
      <c r="G1294" s="60"/>
      <c r="H1294" s="61"/>
    </row>
    <row r="1295" spans="1:8" x14ac:dyDescent="0.25">
      <c r="A1295" s="56">
        <v>1</v>
      </c>
      <c r="B1295" s="70" t="s">
        <v>24</v>
      </c>
      <c r="C1295" s="68">
        <f>1+1</f>
        <v>2</v>
      </c>
      <c r="D1295" s="68">
        <f>C1295-G1295-H1295</f>
        <v>0.5</v>
      </c>
      <c r="E1295" s="66">
        <f>D1295-F1295</f>
        <v>0.5</v>
      </c>
      <c r="F1295" s="71"/>
      <c r="G1295" s="68">
        <f>0.25+0.25+1</f>
        <v>1.5</v>
      </c>
      <c r="H1295" s="68"/>
    </row>
    <row r="1296" spans="1:8" x14ac:dyDescent="0.25">
      <c r="A1296" s="56"/>
      <c r="B1296" s="72" t="s">
        <v>20</v>
      </c>
      <c r="C1296" s="271">
        <f t="shared" ref="C1296:H1296" si="503">SUM(C1295:C1295)</f>
        <v>2</v>
      </c>
      <c r="D1296" s="271">
        <f t="shared" si="503"/>
        <v>0.5</v>
      </c>
      <c r="E1296" s="271">
        <f t="shared" si="503"/>
        <v>0.5</v>
      </c>
      <c r="F1296" s="272">
        <f t="shared" si="503"/>
        <v>0</v>
      </c>
      <c r="G1296" s="271">
        <f t="shared" si="503"/>
        <v>1.5</v>
      </c>
      <c r="H1296" s="271">
        <f t="shared" si="503"/>
        <v>0</v>
      </c>
    </row>
    <row r="1297" spans="1:8" x14ac:dyDescent="0.25">
      <c r="A1297" s="61"/>
      <c r="B1297" s="285" t="s">
        <v>136</v>
      </c>
      <c r="C1297" s="217"/>
      <c r="D1297" s="217"/>
      <c r="E1297" s="217"/>
      <c r="F1297" s="218"/>
      <c r="G1297" s="60"/>
      <c r="H1297" s="61"/>
    </row>
    <row r="1298" spans="1:8" x14ac:dyDescent="0.25">
      <c r="A1298" s="61"/>
      <c r="B1298" s="285" t="s">
        <v>505</v>
      </c>
      <c r="C1298" s="217"/>
      <c r="D1298" s="217"/>
      <c r="E1298" s="217"/>
      <c r="F1298" s="218"/>
      <c r="G1298" s="60"/>
      <c r="H1298" s="61"/>
    </row>
    <row r="1299" spans="1:8" x14ac:dyDescent="0.25">
      <c r="A1299" s="61">
        <v>1</v>
      </c>
      <c r="B1299" s="273" t="s">
        <v>320</v>
      </c>
      <c r="C1299" s="66">
        <f>1-0.5</f>
        <v>0.5</v>
      </c>
      <c r="D1299" s="66">
        <f t="shared" ref="D1299:D1305" si="504">C1299-G1299-H1299</f>
        <v>0</v>
      </c>
      <c r="E1299" s="66">
        <f t="shared" ref="E1299:E1305" si="505">D1299-F1299</f>
        <v>0</v>
      </c>
      <c r="F1299" s="67"/>
      <c r="G1299" s="60"/>
      <c r="H1299" s="68">
        <v>0.5</v>
      </c>
    </row>
    <row r="1300" spans="1:8" x14ac:dyDescent="0.25">
      <c r="A1300" s="61">
        <v>2</v>
      </c>
      <c r="B1300" s="273" t="s">
        <v>32</v>
      </c>
      <c r="C1300" s="66">
        <f>1.5-0.5-1+1</f>
        <v>1</v>
      </c>
      <c r="D1300" s="66">
        <f t="shared" si="504"/>
        <v>1</v>
      </c>
      <c r="E1300" s="66">
        <f t="shared" si="505"/>
        <v>0</v>
      </c>
      <c r="F1300" s="67">
        <v>1</v>
      </c>
      <c r="G1300" s="60"/>
      <c r="H1300" s="68"/>
    </row>
    <row r="1301" spans="1:8" x14ac:dyDescent="0.25">
      <c r="A1301" s="61">
        <v>3</v>
      </c>
      <c r="B1301" s="273" t="s">
        <v>53</v>
      </c>
      <c r="C1301" s="66">
        <v>1</v>
      </c>
      <c r="D1301" s="66">
        <f t="shared" si="504"/>
        <v>0</v>
      </c>
      <c r="E1301" s="66">
        <f t="shared" si="505"/>
        <v>0</v>
      </c>
      <c r="F1301" s="67"/>
      <c r="G1301" s="61">
        <v>0.25</v>
      </c>
      <c r="H1301" s="68">
        <v>0.75</v>
      </c>
    </row>
    <row r="1302" spans="1:8" x14ac:dyDescent="0.25">
      <c r="A1302" s="61">
        <v>4</v>
      </c>
      <c r="B1302" s="273" t="s">
        <v>210</v>
      </c>
      <c r="C1302" s="66">
        <f>5.25-0.5-2-2.75+3+1</f>
        <v>4</v>
      </c>
      <c r="D1302" s="66">
        <f t="shared" si="504"/>
        <v>0</v>
      </c>
      <c r="E1302" s="66">
        <f t="shared" si="505"/>
        <v>0</v>
      </c>
      <c r="F1302" s="67"/>
      <c r="G1302" s="68">
        <f>2+0.25+0.25</f>
        <v>2.5</v>
      </c>
      <c r="H1302" s="68">
        <f>1+0.75-0.25</f>
        <v>1.5</v>
      </c>
    </row>
    <row r="1303" spans="1:8" x14ac:dyDescent="0.25">
      <c r="A1303" s="61">
        <v>5</v>
      </c>
      <c r="B1303" s="273" t="s">
        <v>94</v>
      </c>
      <c r="C1303" s="66">
        <v>1</v>
      </c>
      <c r="D1303" s="66">
        <f t="shared" si="504"/>
        <v>0</v>
      </c>
      <c r="E1303" s="66">
        <f t="shared" si="505"/>
        <v>0</v>
      </c>
      <c r="F1303" s="67"/>
      <c r="G1303" s="61">
        <v>0.25</v>
      </c>
      <c r="H1303" s="68">
        <v>0.75</v>
      </c>
    </row>
    <row r="1304" spans="1:8" x14ac:dyDescent="0.25">
      <c r="A1304" s="61">
        <v>6</v>
      </c>
      <c r="B1304" s="273" t="s">
        <v>44</v>
      </c>
      <c r="C1304" s="66">
        <v>1</v>
      </c>
      <c r="D1304" s="66">
        <f t="shared" si="504"/>
        <v>0</v>
      </c>
      <c r="E1304" s="66">
        <f t="shared" si="505"/>
        <v>0</v>
      </c>
      <c r="F1304" s="67"/>
      <c r="G1304" s="61">
        <v>0.25</v>
      </c>
      <c r="H1304" s="68">
        <v>0.75</v>
      </c>
    </row>
    <row r="1305" spans="1:8" x14ac:dyDescent="0.25">
      <c r="A1305" s="61">
        <v>7</v>
      </c>
      <c r="B1305" s="273" t="s">
        <v>45</v>
      </c>
      <c r="C1305" s="66">
        <f>1+2-0.25+0.5+0.5+1.5</f>
        <v>5.25</v>
      </c>
      <c r="D1305" s="66">
        <f t="shared" si="504"/>
        <v>0</v>
      </c>
      <c r="E1305" s="66">
        <f t="shared" si="505"/>
        <v>0</v>
      </c>
      <c r="F1305" s="67"/>
      <c r="G1305" s="68">
        <f>1+1.5+0.5</f>
        <v>3</v>
      </c>
      <c r="H1305" s="68">
        <f>2.75-0.5</f>
        <v>2.25</v>
      </c>
    </row>
    <row r="1306" spans="1:8" x14ac:dyDescent="0.25">
      <c r="A1306" s="61"/>
      <c r="B1306" s="141" t="s">
        <v>57</v>
      </c>
      <c r="C1306" s="217">
        <f t="shared" ref="C1306:H1306" si="506">SUM(C1299:C1305)</f>
        <v>13.75</v>
      </c>
      <c r="D1306" s="217">
        <f t="shared" si="506"/>
        <v>1</v>
      </c>
      <c r="E1306" s="217">
        <f t="shared" si="506"/>
        <v>0</v>
      </c>
      <c r="F1306" s="218">
        <f t="shared" si="506"/>
        <v>1</v>
      </c>
      <c r="G1306" s="217">
        <f t="shared" si="506"/>
        <v>6.25</v>
      </c>
      <c r="H1306" s="217">
        <f t="shared" si="506"/>
        <v>6.5</v>
      </c>
    </row>
    <row r="1307" spans="1:8" x14ac:dyDescent="0.25">
      <c r="A1307" s="61"/>
      <c r="B1307" s="141"/>
      <c r="C1307" s="83">
        <f t="shared" ref="C1307:H1307" si="507">SUM(C1308:C1310)</f>
        <v>13.75</v>
      </c>
      <c r="D1307" s="83">
        <f t="shared" si="507"/>
        <v>1</v>
      </c>
      <c r="E1307" s="83">
        <f t="shared" si="507"/>
        <v>0</v>
      </c>
      <c r="F1307" s="84">
        <f t="shared" si="507"/>
        <v>1</v>
      </c>
      <c r="G1307" s="83">
        <f t="shared" si="507"/>
        <v>6.25</v>
      </c>
      <c r="H1307" s="83">
        <f t="shared" si="507"/>
        <v>6.5</v>
      </c>
    </row>
    <row r="1308" spans="1:8" x14ac:dyDescent="0.25">
      <c r="A1308" s="61"/>
      <c r="B1308" s="141" t="s">
        <v>211</v>
      </c>
      <c r="C1308" s="217">
        <f t="shared" ref="C1308:H1308" si="508">C1299+C1300</f>
        <v>1.5</v>
      </c>
      <c r="D1308" s="217">
        <f t="shared" si="508"/>
        <v>1</v>
      </c>
      <c r="E1308" s="217">
        <f t="shared" si="508"/>
        <v>0</v>
      </c>
      <c r="F1308" s="218">
        <f t="shared" si="508"/>
        <v>1</v>
      </c>
      <c r="G1308" s="217">
        <f t="shared" si="508"/>
        <v>0</v>
      </c>
      <c r="H1308" s="217">
        <f t="shared" si="508"/>
        <v>0.5</v>
      </c>
    </row>
    <row r="1309" spans="1:8" x14ac:dyDescent="0.25">
      <c r="A1309" s="61"/>
      <c r="B1309" s="72" t="s">
        <v>29</v>
      </c>
      <c r="C1309" s="217">
        <f t="shared" ref="C1309:H1309" si="509">SUM(C1301:C1303)</f>
        <v>6</v>
      </c>
      <c r="D1309" s="217">
        <f t="shared" si="509"/>
        <v>0</v>
      </c>
      <c r="E1309" s="217">
        <f t="shared" si="509"/>
        <v>0</v>
      </c>
      <c r="F1309" s="218">
        <f t="shared" si="509"/>
        <v>0</v>
      </c>
      <c r="G1309" s="217">
        <f t="shared" si="509"/>
        <v>3</v>
      </c>
      <c r="H1309" s="217">
        <f t="shared" si="509"/>
        <v>3</v>
      </c>
    </row>
    <row r="1310" spans="1:8" x14ac:dyDescent="0.25">
      <c r="A1310" s="61"/>
      <c r="B1310" s="72" t="s">
        <v>262</v>
      </c>
      <c r="C1310" s="217">
        <f t="shared" ref="C1310:H1310" si="510">SUM(C1304:C1305)</f>
        <v>6.25</v>
      </c>
      <c r="D1310" s="217">
        <f t="shared" si="510"/>
        <v>0</v>
      </c>
      <c r="E1310" s="217">
        <f t="shared" si="510"/>
        <v>0</v>
      </c>
      <c r="F1310" s="218">
        <f t="shared" si="510"/>
        <v>0</v>
      </c>
      <c r="G1310" s="217">
        <f t="shared" si="510"/>
        <v>3.25</v>
      </c>
      <c r="H1310" s="217">
        <f t="shared" si="510"/>
        <v>3</v>
      </c>
    </row>
    <row r="1311" spans="1:8" x14ac:dyDescent="0.25">
      <c r="A1311" s="61"/>
      <c r="B1311" s="33" t="s">
        <v>617</v>
      </c>
      <c r="C1311" s="61"/>
      <c r="D1311" s="61"/>
      <c r="E1311" s="61"/>
      <c r="F1311" s="169"/>
      <c r="G1311" s="60"/>
      <c r="H1311" s="61"/>
    </row>
    <row r="1312" spans="1:8" x14ac:dyDescent="0.25">
      <c r="A1312" s="672" t="s">
        <v>518</v>
      </c>
      <c r="B1312" s="672"/>
      <c r="C1312" s="672"/>
      <c r="D1312" s="255"/>
      <c r="E1312" s="255"/>
      <c r="F1312" s="256"/>
      <c r="G1312" s="60"/>
      <c r="H1312" s="61"/>
    </row>
    <row r="1313" spans="1:8" x14ac:dyDescent="0.25">
      <c r="A1313" s="61">
        <v>1</v>
      </c>
      <c r="B1313" s="273" t="s">
        <v>321</v>
      </c>
      <c r="C1313" s="66">
        <v>1</v>
      </c>
      <c r="D1313" s="66">
        <f t="shared" ref="D1313:D1320" si="511">C1313-G1313-H1313</f>
        <v>0</v>
      </c>
      <c r="E1313" s="66">
        <f t="shared" ref="E1313:E1320" si="512">D1313-F1313</f>
        <v>0</v>
      </c>
      <c r="F1313" s="67"/>
      <c r="G1313" s="68">
        <v>1</v>
      </c>
      <c r="H1313" s="68"/>
    </row>
    <row r="1314" spans="1:8" x14ac:dyDescent="0.25">
      <c r="A1314" s="61">
        <v>2</v>
      </c>
      <c r="B1314" s="273" t="s">
        <v>59</v>
      </c>
      <c r="C1314" s="66">
        <v>1</v>
      </c>
      <c r="D1314" s="66">
        <f t="shared" si="511"/>
        <v>0</v>
      </c>
      <c r="E1314" s="66">
        <f t="shared" si="512"/>
        <v>0</v>
      </c>
      <c r="F1314" s="67"/>
      <c r="G1314" s="61">
        <v>0.25</v>
      </c>
      <c r="H1314" s="68">
        <f>1-0.25</f>
        <v>0.75</v>
      </c>
    </row>
    <row r="1315" spans="1:8" x14ac:dyDescent="0.25">
      <c r="A1315" s="61">
        <v>3</v>
      </c>
      <c r="B1315" s="273" t="s">
        <v>32</v>
      </c>
      <c r="C1315" s="66">
        <v>2.25</v>
      </c>
      <c r="D1315" s="66">
        <f t="shared" si="511"/>
        <v>0</v>
      </c>
      <c r="E1315" s="66">
        <f t="shared" si="512"/>
        <v>0</v>
      </c>
      <c r="F1315" s="67"/>
      <c r="G1315" s="61">
        <v>2.25</v>
      </c>
      <c r="H1315" s="68"/>
    </row>
    <row r="1316" spans="1:8" x14ac:dyDescent="0.25">
      <c r="A1316" s="61">
        <v>4</v>
      </c>
      <c r="B1316" s="273" t="s">
        <v>53</v>
      </c>
      <c r="C1316" s="66">
        <v>1</v>
      </c>
      <c r="D1316" s="66">
        <f t="shared" si="511"/>
        <v>0</v>
      </c>
      <c r="E1316" s="66">
        <f t="shared" si="512"/>
        <v>0</v>
      </c>
      <c r="F1316" s="67"/>
      <c r="G1316" s="68">
        <v>1</v>
      </c>
      <c r="H1316" s="68"/>
    </row>
    <row r="1317" spans="1:8" x14ac:dyDescent="0.25">
      <c r="A1317" s="61">
        <v>5</v>
      </c>
      <c r="B1317" s="273" t="s">
        <v>210</v>
      </c>
      <c r="C1317" s="66">
        <f>7.25-1</f>
        <v>6.25</v>
      </c>
      <c r="D1317" s="66">
        <f t="shared" si="511"/>
        <v>0</v>
      </c>
      <c r="E1317" s="66">
        <f t="shared" si="512"/>
        <v>0</v>
      </c>
      <c r="F1317" s="67"/>
      <c r="G1317" s="68">
        <f>5-1+0.5</f>
        <v>4.5</v>
      </c>
      <c r="H1317" s="68">
        <f>2.25-0.5</f>
        <v>1.75</v>
      </c>
    </row>
    <row r="1318" spans="1:8" x14ac:dyDescent="0.25">
      <c r="A1318" s="61">
        <v>6</v>
      </c>
      <c r="B1318" s="273" t="s">
        <v>94</v>
      </c>
      <c r="C1318" s="66">
        <f>1+1</f>
        <v>2</v>
      </c>
      <c r="D1318" s="66">
        <f t="shared" si="511"/>
        <v>0</v>
      </c>
      <c r="E1318" s="66">
        <f t="shared" si="512"/>
        <v>0</v>
      </c>
      <c r="F1318" s="67"/>
      <c r="G1318" s="68">
        <f>1+1</f>
        <v>2</v>
      </c>
      <c r="H1318" s="68"/>
    </row>
    <row r="1319" spans="1:8" x14ac:dyDescent="0.25">
      <c r="A1319" s="61">
        <v>7</v>
      </c>
      <c r="B1319" s="273" t="s">
        <v>44</v>
      </c>
      <c r="C1319" s="66">
        <v>1</v>
      </c>
      <c r="D1319" s="66">
        <f t="shared" si="511"/>
        <v>0</v>
      </c>
      <c r="E1319" s="66">
        <f t="shared" si="512"/>
        <v>0</v>
      </c>
      <c r="F1319" s="67"/>
      <c r="G1319" s="68">
        <v>1</v>
      </c>
      <c r="H1319" s="68"/>
    </row>
    <row r="1320" spans="1:8" x14ac:dyDescent="0.25">
      <c r="A1320" s="61">
        <v>8</v>
      </c>
      <c r="B1320" s="273" t="s">
        <v>45</v>
      </c>
      <c r="C1320" s="66">
        <f>8.25-1</f>
        <v>7.25</v>
      </c>
      <c r="D1320" s="66">
        <f t="shared" si="511"/>
        <v>0</v>
      </c>
      <c r="E1320" s="66">
        <f t="shared" si="512"/>
        <v>0</v>
      </c>
      <c r="F1320" s="67"/>
      <c r="G1320" s="68">
        <f>5-1+0.75</f>
        <v>4.75</v>
      </c>
      <c r="H1320" s="68">
        <f>3.25-0.75</f>
        <v>2.5</v>
      </c>
    </row>
    <row r="1321" spans="1:8" x14ac:dyDescent="0.25">
      <c r="A1321" s="61"/>
      <c r="B1321" s="141" t="s">
        <v>57</v>
      </c>
      <c r="C1321" s="73">
        <f t="shared" ref="C1321:H1321" si="513">SUM(C1313:C1320)</f>
        <v>21.75</v>
      </c>
      <c r="D1321" s="73">
        <f t="shared" si="513"/>
        <v>0</v>
      </c>
      <c r="E1321" s="73">
        <f t="shared" si="513"/>
        <v>0</v>
      </c>
      <c r="F1321" s="74">
        <f t="shared" si="513"/>
        <v>0</v>
      </c>
      <c r="G1321" s="73">
        <f t="shared" si="513"/>
        <v>16.75</v>
      </c>
      <c r="H1321" s="73">
        <f t="shared" si="513"/>
        <v>5</v>
      </c>
    </row>
    <row r="1322" spans="1:8" x14ac:dyDescent="0.25">
      <c r="A1322" s="61"/>
      <c r="B1322" s="141"/>
      <c r="C1322" s="83">
        <f t="shared" ref="C1322:H1322" si="514">SUM(C1323:C1325)</f>
        <v>21.75</v>
      </c>
      <c r="D1322" s="83">
        <f t="shared" si="514"/>
        <v>0</v>
      </c>
      <c r="E1322" s="83">
        <f t="shared" si="514"/>
        <v>0</v>
      </c>
      <c r="F1322" s="84">
        <f t="shared" si="514"/>
        <v>0</v>
      </c>
      <c r="G1322" s="83">
        <f t="shared" si="514"/>
        <v>16.75</v>
      </c>
      <c r="H1322" s="83">
        <f t="shared" si="514"/>
        <v>5</v>
      </c>
    </row>
    <row r="1323" spans="1:8" x14ac:dyDescent="0.25">
      <c r="A1323" s="61"/>
      <c r="B1323" s="141" t="s">
        <v>211</v>
      </c>
      <c r="C1323" s="73">
        <f t="shared" ref="C1323:H1323" si="515">SUM(C1313:C1315)</f>
        <v>4.25</v>
      </c>
      <c r="D1323" s="73">
        <f t="shared" si="515"/>
        <v>0</v>
      </c>
      <c r="E1323" s="73">
        <f t="shared" si="515"/>
        <v>0</v>
      </c>
      <c r="F1323" s="74">
        <f t="shared" si="515"/>
        <v>0</v>
      </c>
      <c r="G1323" s="73">
        <f t="shared" si="515"/>
        <v>3.5</v>
      </c>
      <c r="H1323" s="73">
        <f t="shared" si="515"/>
        <v>0.75</v>
      </c>
    </row>
    <row r="1324" spans="1:8" x14ac:dyDescent="0.25">
      <c r="A1324" s="61"/>
      <c r="B1324" s="72" t="s">
        <v>29</v>
      </c>
      <c r="C1324" s="73">
        <f t="shared" ref="C1324:H1324" si="516">SUM(C1316:C1318)</f>
        <v>9.25</v>
      </c>
      <c r="D1324" s="73">
        <f t="shared" si="516"/>
        <v>0</v>
      </c>
      <c r="E1324" s="73">
        <f t="shared" si="516"/>
        <v>0</v>
      </c>
      <c r="F1324" s="74">
        <f t="shared" si="516"/>
        <v>0</v>
      </c>
      <c r="G1324" s="73">
        <f t="shared" si="516"/>
        <v>7.5</v>
      </c>
      <c r="H1324" s="73">
        <f t="shared" si="516"/>
        <v>1.75</v>
      </c>
    </row>
    <row r="1325" spans="1:8" x14ac:dyDescent="0.25">
      <c r="A1325" s="61"/>
      <c r="B1325" s="72" t="s">
        <v>262</v>
      </c>
      <c r="C1325" s="73">
        <f t="shared" ref="C1325:H1325" si="517">SUM(C1319:C1320)</f>
        <v>8.25</v>
      </c>
      <c r="D1325" s="73">
        <f t="shared" si="517"/>
        <v>0</v>
      </c>
      <c r="E1325" s="73">
        <f t="shared" si="517"/>
        <v>0</v>
      </c>
      <c r="F1325" s="74">
        <f t="shared" si="517"/>
        <v>0</v>
      </c>
      <c r="G1325" s="73">
        <f t="shared" si="517"/>
        <v>5.75</v>
      </c>
      <c r="H1325" s="73">
        <f t="shared" si="517"/>
        <v>2.5</v>
      </c>
    </row>
    <row r="1326" spans="1:8" x14ac:dyDescent="0.25">
      <c r="A1326" s="79" t="s">
        <v>322</v>
      </c>
      <c r="B1326" s="60"/>
      <c r="C1326" s="61"/>
      <c r="D1326" s="61"/>
      <c r="E1326" s="61"/>
      <c r="F1326" s="169"/>
      <c r="G1326" s="60"/>
      <c r="H1326" s="61"/>
    </row>
    <row r="1327" spans="1:8" x14ac:dyDescent="0.25">
      <c r="A1327" s="672" t="s">
        <v>618</v>
      </c>
      <c r="B1327" s="672"/>
      <c r="C1327" s="672"/>
      <c r="D1327" s="255"/>
      <c r="E1327" s="255"/>
      <c r="F1327" s="256"/>
      <c r="G1327" s="60"/>
      <c r="H1327" s="61"/>
    </row>
    <row r="1328" spans="1:8" x14ac:dyDescent="0.25">
      <c r="A1328" s="61">
        <v>1</v>
      </c>
      <c r="B1328" s="273" t="s">
        <v>323</v>
      </c>
      <c r="C1328" s="66">
        <f>0.5-0.25+0.75</f>
        <v>1</v>
      </c>
      <c r="D1328" s="66">
        <f t="shared" ref="D1328:D1334" si="518">C1328-G1328-H1328</f>
        <v>0</v>
      </c>
      <c r="E1328" s="66">
        <f t="shared" ref="E1328:E1334" si="519">D1328-F1328</f>
        <v>0</v>
      </c>
      <c r="F1328" s="67"/>
      <c r="G1328" s="68">
        <f>0.5-0.25+0.75</f>
        <v>1</v>
      </c>
      <c r="H1328" s="68"/>
    </row>
    <row r="1329" spans="1:8" x14ac:dyDescent="0.25">
      <c r="A1329" s="61">
        <v>2</v>
      </c>
      <c r="B1329" s="273" t="s">
        <v>66</v>
      </c>
      <c r="C1329" s="66">
        <v>2</v>
      </c>
      <c r="D1329" s="66">
        <f t="shared" si="518"/>
        <v>0</v>
      </c>
      <c r="E1329" s="66">
        <f t="shared" si="519"/>
        <v>0</v>
      </c>
      <c r="F1329" s="67"/>
      <c r="G1329" s="68">
        <v>2</v>
      </c>
      <c r="H1329" s="68"/>
    </row>
    <row r="1330" spans="1:8" x14ac:dyDescent="0.25">
      <c r="A1330" s="61">
        <v>4</v>
      </c>
      <c r="B1330" s="273" t="s">
        <v>53</v>
      </c>
      <c r="C1330" s="66">
        <v>1</v>
      </c>
      <c r="D1330" s="66">
        <f t="shared" si="518"/>
        <v>0</v>
      </c>
      <c r="E1330" s="66">
        <f t="shared" si="519"/>
        <v>0</v>
      </c>
      <c r="F1330" s="67"/>
      <c r="G1330" s="68">
        <v>1</v>
      </c>
      <c r="H1330" s="68"/>
    </row>
    <row r="1331" spans="1:8" x14ac:dyDescent="0.25">
      <c r="A1331" s="61">
        <v>5</v>
      </c>
      <c r="B1331" s="273" t="s">
        <v>210</v>
      </c>
      <c r="C1331" s="66">
        <f>2-1+4+1-1</f>
        <v>5</v>
      </c>
      <c r="D1331" s="66">
        <f t="shared" si="518"/>
        <v>0</v>
      </c>
      <c r="E1331" s="66">
        <f t="shared" si="519"/>
        <v>0</v>
      </c>
      <c r="F1331" s="67"/>
      <c r="G1331" s="68">
        <f>2-1+4+1-1</f>
        <v>5</v>
      </c>
      <c r="H1331" s="68"/>
    </row>
    <row r="1332" spans="1:8" x14ac:dyDescent="0.25">
      <c r="A1332" s="61">
        <v>6</v>
      </c>
      <c r="B1332" s="273" t="s">
        <v>94</v>
      </c>
      <c r="C1332" s="66">
        <f>1+1-1+1</f>
        <v>2</v>
      </c>
      <c r="D1332" s="66">
        <f t="shared" si="518"/>
        <v>0</v>
      </c>
      <c r="E1332" s="66">
        <f t="shared" si="519"/>
        <v>0</v>
      </c>
      <c r="F1332" s="67"/>
      <c r="G1332" s="68">
        <f>1+1-1+1</f>
        <v>2</v>
      </c>
      <c r="H1332" s="68"/>
    </row>
    <row r="1333" spans="1:8" x14ac:dyDescent="0.25">
      <c r="A1333" s="61">
        <v>7</v>
      </c>
      <c r="B1333" s="273" t="s">
        <v>44</v>
      </c>
      <c r="C1333" s="66">
        <v>1</v>
      </c>
      <c r="D1333" s="66">
        <f t="shared" si="518"/>
        <v>0</v>
      </c>
      <c r="E1333" s="66">
        <f t="shared" si="519"/>
        <v>0</v>
      </c>
      <c r="F1333" s="67"/>
      <c r="G1333" s="68">
        <v>1</v>
      </c>
      <c r="H1333" s="68"/>
    </row>
    <row r="1334" spans="1:8" x14ac:dyDescent="0.25">
      <c r="A1334" s="61">
        <v>8</v>
      </c>
      <c r="B1334" s="273" t="s">
        <v>45</v>
      </c>
      <c r="C1334" s="66">
        <f>2-0.5+6.5-1.5-1</f>
        <v>5.5</v>
      </c>
      <c r="D1334" s="66">
        <f t="shared" si="518"/>
        <v>0</v>
      </c>
      <c r="E1334" s="66">
        <f t="shared" si="519"/>
        <v>0</v>
      </c>
      <c r="F1334" s="67"/>
      <c r="G1334" s="68">
        <f>2-0.5+6.5-1.5-1</f>
        <v>5.5</v>
      </c>
      <c r="H1334" s="68"/>
    </row>
    <row r="1335" spans="1:8" x14ac:dyDescent="0.25">
      <c r="A1335" s="61"/>
      <c r="B1335" s="141" t="s">
        <v>57</v>
      </c>
      <c r="C1335" s="73">
        <f t="shared" ref="C1335:H1335" si="520">SUM(C1328:C1334)</f>
        <v>17.5</v>
      </c>
      <c r="D1335" s="73">
        <f t="shared" si="520"/>
        <v>0</v>
      </c>
      <c r="E1335" s="73">
        <f t="shared" si="520"/>
        <v>0</v>
      </c>
      <c r="F1335" s="74">
        <f t="shared" si="520"/>
        <v>0</v>
      </c>
      <c r="G1335" s="73">
        <f t="shared" si="520"/>
        <v>17.5</v>
      </c>
      <c r="H1335" s="73">
        <f t="shared" si="520"/>
        <v>0</v>
      </c>
    </row>
    <row r="1336" spans="1:8" x14ac:dyDescent="0.25">
      <c r="A1336" s="61"/>
      <c r="B1336" s="141"/>
      <c r="C1336" s="83">
        <f t="shared" ref="C1336:H1336" si="521">SUM(C1337:C1339)</f>
        <v>17.5</v>
      </c>
      <c r="D1336" s="83">
        <f t="shared" si="521"/>
        <v>0</v>
      </c>
      <c r="E1336" s="83">
        <f t="shared" si="521"/>
        <v>0</v>
      </c>
      <c r="F1336" s="84">
        <f t="shared" si="521"/>
        <v>0</v>
      </c>
      <c r="G1336" s="83">
        <f t="shared" si="521"/>
        <v>17.5</v>
      </c>
      <c r="H1336" s="83">
        <f t="shared" si="521"/>
        <v>0</v>
      </c>
    </row>
    <row r="1337" spans="1:8" x14ac:dyDescent="0.25">
      <c r="A1337" s="61"/>
      <c r="B1337" s="141" t="s">
        <v>211</v>
      </c>
      <c r="C1337" s="73">
        <f t="shared" ref="C1337:H1337" si="522">SUM(C1328:C1329)</f>
        <v>3</v>
      </c>
      <c r="D1337" s="73">
        <f t="shared" si="522"/>
        <v>0</v>
      </c>
      <c r="E1337" s="73">
        <f t="shared" si="522"/>
        <v>0</v>
      </c>
      <c r="F1337" s="74">
        <f t="shared" si="522"/>
        <v>0</v>
      </c>
      <c r="G1337" s="73">
        <f t="shared" si="522"/>
        <v>3</v>
      </c>
      <c r="H1337" s="73">
        <f t="shared" si="522"/>
        <v>0</v>
      </c>
    </row>
    <row r="1338" spans="1:8" x14ac:dyDescent="0.25">
      <c r="A1338" s="61"/>
      <c r="B1338" s="82" t="s">
        <v>29</v>
      </c>
      <c r="C1338" s="73">
        <f t="shared" ref="C1338:H1338" si="523">SUM(C1330:C1332)</f>
        <v>8</v>
      </c>
      <c r="D1338" s="73">
        <f t="shared" si="523"/>
        <v>0</v>
      </c>
      <c r="E1338" s="73">
        <f t="shared" si="523"/>
        <v>0</v>
      </c>
      <c r="F1338" s="74">
        <f t="shared" si="523"/>
        <v>0</v>
      </c>
      <c r="G1338" s="73">
        <f t="shared" si="523"/>
        <v>8</v>
      </c>
      <c r="H1338" s="73">
        <f t="shared" si="523"/>
        <v>0</v>
      </c>
    </row>
    <row r="1339" spans="1:8" x14ac:dyDescent="0.25">
      <c r="A1339" s="61"/>
      <c r="B1339" s="82" t="s">
        <v>262</v>
      </c>
      <c r="C1339" s="73">
        <f t="shared" ref="C1339:H1339" si="524">SUM(C1333:C1334)</f>
        <v>6.5</v>
      </c>
      <c r="D1339" s="73">
        <f t="shared" si="524"/>
        <v>0</v>
      </c>
      <c r="E1339" s="73">
        <f t="shared" si="524"/>
        <v>0</v>
      </c>
      <c r="F1339" s="74">
        <f t="shared" si="524"/>
        <v>0</v>
      </c>
      <c r="G1339" s="73">
        <f t="shared" si="524"/>
        <v>6.5</v>
      </c>
      <c r="H1339" s="73">
        <f t="shared" si="524"/>
        <v>0</v>
      </c>
    </row>
    <row r="1340" spans="1:8" x14ac:dyDescent="0.25">
      <c r="A1340" s="61"/>
      <c r="B1340" s="285" t="s">
        <v>519</v>
      </c>
      <c r="C1340" s="61"/>
      <c r="D1340" s="61"/>
      <c r="E1340" s="61"/>
      <c r="F1340" s="169"/>
      <c r="G1340" s="60"/>
      <c r="H1340" s="61"/>
    </row>
    <row r="1341" spans="1:8" x14ac:dyDescent="0.25">
      <c r="A1341" s="673" t="s">
        <v>619</v>
      </c>
      <c r="B1341" s="673"/>
      <c r="C1341" s="673"/>
      <c r="D1341" s="262"/>
      <c r="E1341" s="262"/>
      <c r="F1341" s="263"/>
      <c r="G1341" s="60"/>
      <c r="H1341" s="61"/>
    </row>
    <row r="1342" spans="1:8" ht="26.25" x14ac:dyDescent="0.25">
      <c r="A1342" s="56">
        <v>1</v>
      </c>
      <c r="B1342" s="273" t="s">
        <v>324</v>
      </c>
      <c r="C1342" s="66">
        <v>1</v>
      </c>
      <c r="D1342" s="66">
        <f t="shared" ref="D1342:D1349" si="525">C1342-G1342-H1342</f>
        <v>0.75</v>
      </c>
      <c r="E1342" s="66">
        <f t="shared" ref="E1342:E1349" si="526">D1342-F1342</f>
        <v>0</v>
      </c>
      <c r="F1342" s="67">
        <v>0.75</v>
      </c>
      <c r="G1342" s="61">
        <v>0.25</v>
      </c>
      <c r="H1342" s="68"/>
    </row>
    <row r="1343" spans="1:8" x14ac:dyDescent="0.25">
      <c r="A1343" s="56">
        <v>2</v>
      </c>
      <c r="B1343" s="273" t="s">
        <v>325</v>
      </c>
      <c r="C1343" s="66">
        <f>2.25+0.75+0.5+0.25+1-0.25</f>
        <v>4.5</v>
      </c>
      <c r="D1343" s="66">
        <f t="shared" si="525"/>
        <v>1.25</v>
      </c>
      <c r="E1343" s="66">
        <f t="shared" si="526"/>
        <v>0</v>
      </c>
      <c r="F1343" s="67">
        <f>0.75+0.5</f>
        <v>1.25</v>
      </c>
      <c r="G1343" s="68">
        <f>0.25+0.75+0.5+0.25+0.25-0.5+0.25+0.5-0.25</f>
        <v>2</v>
      </c>
      <c r="H1343" s="68">
        <f>1-0.25+0.5</f>
        <v>1.25</v>
      </c>
    </row>
    <row r="1344" spans="1:8" x14ac:dyDescent="0.25">
      <c r="A1344" s="56">
        <v>3</v>
      </c>
      <c r="B1344" s="273" t="s">
        <v>53</v>
      </c>
      <c r="C1344" s="66">
        <v>1</v>
      </c>
      <c r="D1344" s="66">
        <f t="shared" si="525"/>
        <v>1</v>
      </c>
      <c r="E1344" s="66">
        <f t="shared" si="526"/>
        <v>0</v>
      </c>
      <c r="F1344" s="67">
        <v>1</v>
      </c>
      <c r="G1344" s="61"/>
      <c r="H1344" s="68"/>
    </row>
    <row r="1345" spans="1:8" x14ac:dyDescent="0.25">
      <c r="A1345" s="56">
        <v>4</v>
      </c>
      <c r="B1345" s="273" t="s">
        <v>210</v>
      </c>
      <c r="C1345" s="66">
        <f>5+1+0.25-1+1+3.5</f>
        <v>9.75</v>
      </c>
      <c r="D1345" s="66">
        <f t="shared" si="525"/>
        <v>2.75</v>
      </c>
      <c r="E1345" s="66">
        <f t="shared" si="526"/>
        <v>0</v>
      </c>
      <c r="F1345" s="67">
        <f>1+0.5+0.25+0.25+0.75</f>
        <v>2.75</v>
      </c>
      <c r="G1345" s="68">
        <f>2+0.25+0.25+0.75+2.5+0.25+0.25</f>
        <v>6.25</v>
      </c>
      <c r="H1345" s="68">
        <f>1-0.25</f>
        <v>0.75</v>
      </c>
    </row>
    <row r="1346" spans="1:8" x14ac:dyDescent="0.25">
      <c r="A1346" s="56">
        <v>5</v>
      </c>
      <c r="B1346" s="273" t="s">
        <v>94</v>
      </c>
      <c r="C1346" s="66">
        <v>1</v>
      </c>
      <c r="D1346" s="66">
        <f t="shared" si="525"/>
        <v>0.75</v>
      </c>
      <c r="E1346" s="66">
        <f t="shared" si="526"/>
        <v>0</v>
      </c>
      <c r="F1346" s="67">
        <v>0.75</v>
      </c>
      <c r="G1346" s="68">
        <v>0.25</v>
      </c>
      <c r="H1346" s="68"/>
    </row>
    <row r="1347" spans="1:8" x14ac:dyDescent="0.25">
      <c r="A1347" s="56">
        <v>6</v>
      </c>
      <c r="B1347" s="273" t="s">
        <v>213</v>
      </c>
      <c r="C1347" s="66">
        <v>1</v>
      </c>
      <c r="D1347" s="66">
        <f t="shared" si="525"/>
        <v>0.75</v>
      </c>
      <c r="E1347" s="66">
        <f t="shared" si="526"/>
        <v>0</v>
      </c>
      <c r="F1347" s="67">
        <v>0.75</v>
      </c>
      <c r="G1347" s="68">
        <v>0.25</v>
      </c>
      <c r="H1347" s="68"/>
    </row>
    <row r="1348" spans="1:8" x14ac:dyDescent="0.25">
      <c r="A1348" s="56">
        <v>7</v>
      </c>
      <c r="B1348" s="273" t="s">
        <v>44</v>
      </c>
      <c r="C1348" s="66">
        <v>1</v>
      </c>
      <c r="D1348" s="66">
        <f t="shared" si="525"/>
        <v>1</v>
      </c>
      <c r="E1348" s="66">
        <f t="shared" si="526"/>
        <v>0</v>
      </c>
      <c r="F1348" s="67">
        <v>1</v>
      </c>
      <c r="G1348" s="68"/>
      <c r="H1348" s="68"/>
    </row>
    <row r="1349" spans="1:8" x14ac:dyDescent="0.25">
      <c r="A1349" s="56">
        <v>8</v>
      </c>
      <c r="B1349" s="273" t="s">
        <v>45</v>
      </c>
      <c r="C1349" s="66">
        <f>9.75-1</f>
        <v>8.75</v>
      </c>
      <c r="D1349" s="66">
        <f t="shared" si="525"/>
        <v>3.75</v>
      </c>
      <c r="E1349" s="66">
        <f t="shared" si="526"/>
        <v>0</v>
      </c>
      <c r="F1349" s="67">
        <f>0.75+0.75+0.75+0.75+0.75</f>
        <v>3.75</v>
      </c>
      <c r="G1349" s="68">
        <f>4-1+1.25</f>
        <v>4.25</v>
      </c>
      <c r="H1349" s="68">
        <v>0.75</v>
      </c>
    </row>
    <row r="1350" spans="1:8" x14ac:dyDescent="0.25">
      <c r="A1350" s="56"/>
      <c r="B1350" s="141" t="s">
        <v>57</v>
      </c>
      <c r="C1350" s="73">
        <f t="shared" ref="C1350:H1350" si="527">SUM(C1342:C1349)</f>
        <v>28</v>
      </c>
      <c r="D1350" s="73">
        <f t="shared" si="527"/>
        <v>12</v>
      </c>
      <c r="E1350" s="73">
        <f t="shared" si="527"/>
        <v>0</v>
      </c>
      <c r="F1350" s="74">
        <f t="shared" si="527"/>
        <v>12</v>
      </c>
      <c r="G1350" s="73">
        <f t="shared" si="527"/>
        <v>13.25</v>
      </c>
      <c r="H1350" s="73">
        <f t="shared" si="527"/>
        <v>2.75</v>
      </c>
    </row>
    <row r="1351" spans="1:8" x14ac:dyDescent="0.25">
      <c r="A1351" s="56"/>
      <c r="B1351" s="141"/>
      <c r="C1351" s="83">
        <f t="shared" ref="C1351:H1351" si="528">SUM(C1352:C1354)</f>
        <v>28</v>
      </c>
      <c r="D1351" s="83">
        <f t="shared" si="528"/>
        <v>12</v>
      </c>
      <c r="E1351" s="83">
        <f t="shared" si="528"/>
        <v>0</v>
      </c>
      <c r="F1351" s="84">
        <f t="shared" si="528"/>
        <v>12</v>
      </c>
      <c r="G1351" s="83">
        <f t="shared" si="528"/>
        <v>13.25</v>
      </c>
      <c r="H1351" s="83">
        <f t="shared" si="528"/>
        <v>2.75</v>
      </c>
    </row>
    <row r="1352" spans="1:8" x14ac:dyDescent="0.25">
      <c r="A1352" s="56"/>
      <c r="B1352" s="141" t="s">
        <v>211</v>
      </c>
      <c r="C1352" s="73">
        <f t="shared" ref="C1352:H1352" si="529">SUM(C1342:C1343)</f>
        <v>5.5</v>
      </c>
      <c r="D1352" s="73">
        <f t="shared" si="529"/>
        <v>2</v>
      </c>
      <c r="E1352" s="73">
        <f t="shared" si="529"/>
        <v>0</v>
      </c>
      <c r="F1352" s="74">
        <f t="shared" si="529"/>
        <v>2</v>
      </c>
      <c r="G1352" s="73">
        <f t="shared" si="529"/>
        <v>2.25</v>
      </c>
      <c r="H1352" s="73">
        <f t="shared" si="529"/>
        <v>1.25</v>
      </c>
    </row>
    <row r="1353" spans="1:8" x14ac:dyDescent="0.25">
      <c r="A1353" s="56"/>
      <c r="B1353" s="72" t="s">
        <v>29</v>
      </c>
      <c r="C1353" s="73">
        <f t="shared" ref="C1353:H1353" si="530">SUM(C1344:C1347)</f>
        <v>12.75</v>
      </c>
      <c r="D1353" s="73">
        <f t="shared" si="530"/>
        <v>5.25</v>
      </c>
      <c r="E1353" s="73">
        <f t="shared" si="530"/>
        <v>0</v>
      </c>
      <c r="F1353" s="74">
        <f t="shared" si="530"/>
        <v>5.25</v>
      </c>
      <c r="G1353" s="73">
        <f t="shared" si="530"/>
        <v>6.75</v>
      </c>
      <c r="H1353" s="73">
        <f t="shared" si="530"/>
        <v>0.75</v>
      </c>
    </row>
    <row r="1354" spans="1:8" x14ac:dyDescent="0.25">
      <c r="A1354" s="56"/>
      <c r="B1354" s="72" t="s">
        <v>262</v>
      </c>
      <c r="C1354" s="73">
        <f t="shared" ref="C1354:H1354" si="531">SUM(C1348:C1349)</f>
        <v>9.75</v>
      </c>
      <c r="D1354" s="73">
        <f t="shared" si="531"/>
        <v>4.75</v>
      </c>
      <c r="E1354" s="73">
        <f t="shared" si="531"/>
        <v>0</v>
      </c>
      <c r="F1354" s="74">
        <f t="shared" si="531"/>
        <v>4.75</v>
      </c>
      <c r="G1354" s="73">
        <f t="shared" si="531"/>
        <v>4.25</v>
      </c>
      <c r="H1354" s="73">
        <f t="shared" si="531"/>
        <v>0.75</v>
      </c>
    </row>
    <row r="1355" spans="1:8" x14ac:dyDescent="0.25">
      <c r="A1355" s="668" t="s">
        <v>552</v>
      </c>
      <c r="B1355" s="668"/>
      <c r="C1355" s="668"/>
      <c r="D1355" s="73"/>
      <c r="E1355" s="73"/>
      <c r="F1355" s="74"/>
      <c r="G1355" s="73"/>
      <c r="H1355" s="73"/>
    </row>
    <row r="1356" spans="1:8" x14ac:dyDescent="0.25">
      <c r="A1356" s="90" t="s">
        <v>546</v>
      </c>
      <c r="B1356" s="61"/>
      <c r="C1356" s="61"/>
      <c r="D1356" s="73"/>
      <c r="E1356" s="73"/>
      <c r="F1356" s="74"/>
      <c r="G1356" s="73"/>
      <c r="H1356" s="73"/>
    </row>
    <row r="1357" spans="1:8" ht="26.25" x14ac:dyDescent="0.25">
      <c r="A1357" s="134">
        <v>1</v>
      </c>
      <c r="B1357" s="103" t="s">
        <v>556</v>
      </c>
      <c r="C1357" s="167">
        <v>0.5</v>
      </c>
      <c r="D1357" s="66">
        <f t="shared" ref="D1357:D1363" si="532">C1357-G1357-H1357</f>
        <v>0</v>
      </c>
      <c r="E1357" s="66">
        <f t="shared" ref="E1357:E1363" si="533">D1357-F1357</f>
        <v>0</v>
      </c>
      <c r="F1357" s="67"/>
      <c r="G1357" s="73"/>
      <c r="H1357" s="167">
        <v>0.5</v>
      </c>
    </row>
    <row r="1358" spans="1:8" ht="26.25" x14ac:dyDescent="0.25">
      <c r="A1358" s="56">
        <v>2</v>
      </c>
      <c r="B1358" s="103" t="s">
        <v>553</v>
      </c>
      <c r="C1358" s="167">
        <v>1</v>
      </c>
      <c r="D1358" s="66">
        <f t="shared" si="532"/>
        <v>0</v>
      </c>
      <c r="E1358" s="66">
        <f t="shared" si="533"/>
        <v>0</v>
      </c>
      <c r="F1358" s="67"/>
      <c r="G1358" s="73"/>
      <c r="H1358" s="167">
        <v>1</v>
      </c>
    </row>
    <row r="1359" spans="1:8" x14ac:dyDescent="0.25">
      <c r="A1359" s="56">
        <v>3</v>
      </c>
      <c r="B1359" s="88" t="s">
        <v>94</v>
      </c>
      <c r="C1359" s="167">
        <v>1</v>
      </c>
      <c r="D1359" s="66">
        <f t="shared" si="532"/>
        <v>0</v>
      </c>
      <c r="E1359" s="66">
        <f t="shared" si="533"/>
        <v>0</v>
      </c>
      <c r="F1359" s="67"/>
      <c r="G1359" s="73"/>
      <c r="H1359" s="167">
        <v>1</v>
      </c>
    </row>
    <row r="1360" spans="1:8" x14ac:dyDescent="0.25">
      <c r="A1360" s="56">
        <v>4</v>
      </c>
      <c r="B1360" s="88" t="s">
        <v>210</v>
      </c>
      <c r="C1360" s="223">
        <v>5.25</v>
      </c>
      <c r="D1360" s="66">
        <f t="shared" si="532"/>
        <v>0</v>
      </c>
      <c r="E1360" s="66">
        <f t="shared" si="533"/>
        <v>0</v>
      </c>
      <c r="F1360" s="67"/>
      <c r="G1360" s="73"/>
      <c r="H1360" s="223">
        <v>5.25</v>
      </c>
    </row>
    <row r="1361" spans="1:9" x14ac:dyDescent="0.25">
      <c r="A1361" s="26">
        <v>5</v>
      </c>
      <c r="B1361" s="88" t="s">
        <v>557</v>
      </c>
      <c r="C1361" s="223">
        <v>1</v>
      </c>
      <c r="D1361" s="66">
        <f t="shared" si="532"/>
        <v>0</v>
      </c>
      <c r="E1361" s="66">
        <f t="shared" si="533"/>
        <v>0</v>
      </c>
      <c r="F1361" s="67"/>
      <c r="G1361" s="73"/>
      <c r="H1361" s="223">
        <v>1</v>
      </c>
    </row>
    <row r="1362" spans="1:9" x14ac:dyDescent="0.25">
      <c r="A1362" s="26">
        <v>6</v>
      </c>
      <c r="B1362" s="88" t="s">
        <v>44</v>
      </c>
      <c r="C1362" s="223">
        <v>1</v>
      </c>
      <c r="D1362" s="66">
        <f t="shared" si="532"/>
        <v>0</v>
      </c>
      <c r="E1362" s="66">
        <f t="shared" si="533"/>
        <v>0</v>
      </c>
      <c r="F1362" s="67"/>
      <c r="G1362" s="73"/>
      <c r="H1362" s="223">
        <v>1</v>
      </c>
    </row>
    <row r="1363" spans="1:9" x14ac:dyDescent="0.25">
      <c r="A1363" s="26">
        <v>7</v>
      </c>
      <c r="B1363" s="88" t="s">
        <v>45</v>
      </c>
      <c r="C1363" s="223">
        <v>6.75</v>
      </c>
      <c r="D1363" s="66">
        <f t="shared" si="532"/>
        <v>0</v>
      </c>
      <c r="E1363" s="66">
        <f t="shared" si="533"/>
        <v>0</v>
      </c>
      <c r="F1363" s="67"/>
      <c r="G1363" s="73"/>
      <c r="H1363" s="223">
        <v>6.75</v>
      </c>
    </row>
    <row r="1364" spans="1:9" x14ac:dyDescent="0.25">
      <c r="A1364" s="26"/>
      <c r="B1364" s="72" t="s">
        <v>596</v>
      </c>
      <c r="C1364" s="73">
        <f t="shared" ref="C1364:H1364" si="534">SUM(C1357:C1363)</f>
        <v>16.5</v>
      </c>
      <c r="D1364" s="73">
        <f t="shared" si="534"/>
        <v>0</v>
      </c>
      <c r="E1364" s="73">
        <f t="shared" si="534"/>
        <v>0</v>
      </c>
      <c r="F1364" s="74">
        <f t="shared" si="534"/>
        <v>0</v>
      </c>
      <c r="G1364" s="73">
        <f t="shared" si="534"/>
        <v>0</v>
      </c>
      <c r="H1364" s="73">
        <f t="shared" si="534"/>
        <v>16.5</v>
      </c>
    </row>
    <row r="1365" spans="1:9" x14ac:dyDescent="0.25">
      <c r="A1365" s="26"/>
      <c r="B1365" s="72"/>
      <c r="C1365" s="83">
        <f t="shared" ref="C1365:H1365" si="535">SUM(C1366:C1368)</f>
        <v>16.5</v>
      </c>
      <c r="D1365" s="83">
        <f t="shared" si="535"/>
        <v>0</v>
      </c>
      <c r="E1365" s="83">
        <f t="shared" si="535"/>
        <v>0</v>
      </c>
      <c r="F1365" s="84">
        <f t="shared" si="535"/>
        <v>0</v>
      </c>
      <c r="G1365" s="83">
        <f t="shared" si="535"/>
        <v>0</v>
      </c>
      <c r="H1365" s="83">
        <f t="shared" si="535"/>
        <v>16.5</v>
      </c>
    </row>
    <row r="1366" spans="1:9" x14ac:dyDescent="0.25">
      <c r="A1366" s="26"/>
      <c r="B1366" s="82" t="s">
        <v>211</v>
      </c>
      <c r="C1366" s="73">
        <f t="shared" ref="C1366:H1366" si="536">SUM(C1357:C1358)</f>
        <v>1.5</v>
      </c>
      <c r="D1366" s="73">
        <f t="shared" si="536"/>
        <v>0</v>
      </c>
      <c r="E1366" s="73">
        <f t="shared" si="536"/>
        <v>0</v>
      </c>
      <c r="F1366" s="74">
        <f t="shared" si="536"/>
        <v>0</v>
      </c>
      <c r="G1366" s="73">
        <f t="shared" si="536"/>
        <v>0</v>
      </c>
      <c r="H1366" s="73">
        <f t="shared" si="536"/>
        <v>1.5</v>
      </c>
    </row>
    <row r="1367" spans="1:9" x14ac:dyDescent="0.25">
      <c r="A1367" s="26"/>
      <c r="B1367" s="82" t="s">
        <v>583</v>
      </c>
      <c r="C1367" s="73">
        <f t="shared" ref="C1367:H1367" si="537">SUM(C1359:C1361)</f>
        <v>7.25</v>
      </c>
      <c r="D1367" s="73">
        <f t="shared" si="537"/>
        <v>0</v>
      </c>
      <c r="E1367" s="73">
        <f t="shared" si="537"/>
        <v>0</v>
      </c>
      <c r="F1367" s="74">
        <f t="shared" si="537"/>
        <v>0</v>
      </c>
      <c r="G1367" s="73">
        <f t="shared" si="537"/>
        <v>0</v>
      </c>
      <c r="H1367" s="73">
        <f t="shared" si="537"/>
        <v>7.25</v>
      </c>
    </row>
    <row r="1368" spans="1:9" x14ac:dyDescent="0.25">
      <c r="A1368" s="26"/>
      <c r="B1368" s="82" t="s">
        <v>179</v>
      </c>
      <c r="C1368" s="73">
        <f t="shared" ref="C1368:H1368" si="538">SUM(C1362:C1363)</f>
        <v>7.75</v>
      </c>
      <c r="D1368" s="73">
        <f t="shared" si="538"/>
        <v>0</v>
      </c>
      <c r="E1368" s="73">
        <f t="shared" si="538"/>
        <v>0</v>
      </c>
      <c r="F1368" s="74">
        <f t="shared" si="538"/>
        <v>0</v>
      </c>
      <c r="G1368" s="73">
        <f t="shared" si="538"/>
        <v>0</v>
      </c>
      <c r="H1368" s="73">
        <f t="shared" si="538"/>
        <v>7.75</v>
      </c>
    </row>
    <row r="1369" spans="1:9" x14ac:dyDescent="0.25">
      <c r="A1369" s="61"/>
      <c r="B1369" s="33" t="s">
        <v>239</v>
      </c>
      <c r="C1369" s="73"/>
      <c r="D1369" s="73"/>
      <c r="E1369" s="73"/>
      <c r="F1369" s="74"/>
      <c r="G1369" s="60"/>
      <c r="H1369" s="61"/>
    </row>
    <row r="1370" spans="1:9" ht="26.25" x14ac:dyDescent="0.25">
      <c r="A1370" s="134">
        <v>1</v>
      </c>
      <c r="B1370" s="103" t="s">
        <v>488</v>
      </c>
      <c r="C1370" s="66">
        <v>0.25</v>
      </c>
      <c r="D1370" s="66">
        <f>C1370-G1370-H1370</f>
        <v>0.25</v>
      </c>
      <c r="E1370" s="66">
        <f>D1370-F1370</f>
        <v>0</v>
      </c>
      <c r="F1370" s="67">
        <v>0.25</v>
      </c>
      <c r="G1370" s="60"/>
      <c r="H1370" s="61"/>
    </row>
    <row r="1371" spans="1:9" x14ac:dyDescent="0.25">
      <c r="A1371" s="134">
        <v>2</v>
      </c>
      <c r="B1371" s="76" t="s">
        <v>240</v>
      </c>
      <c r="C1371" s="66">
        <v>1</v>
      </c>
      <c r="D1371" s="66">
        <f>C1371-G1371-H1371</f>
        <v>0.75</v>
      </c>
      <c r="E1371" s="66">
        <f>D1371-F1371</f>
        <v>0</v>
      </c>
      <c r="F1371" s="67">
        <v>0.75</v>
      </c>
      <c r="G1371" s="61">
        <v>0.25</v>
      </c>
      <c r="H1371" s="68"/>
    </row>
    <row r="1372" spans="1:9" x14ac:dyDescent="0.25">
      <c r="A1372" s="134">
        <v>3</v>
      </c>
      <c r="B1372" s="76" t="s">
        <v>595</v>
      </c>
      <c r="C1372" s="66">
        <f>4+1-1+1</f>
        <v>5</v>
      </c>
      <c r="D1372" s="66">
        <f>C1372-G1372-H1372</f>
        <v>2.5</v>
      </c>
      <c r="E1372" s="66">
        <f>D1372-F1372</f>
        <v>0</v>
      </c>
      <c r="F1372" s="67">
        <f>0.75+0.5+0.5+0.75</f>
        <v>2.5</v>
      </c>
      <c r="G1372" s="68">
        <f>1+1+0.5</f>
        <v>2.5</v>
      </c>
      <c r="H1372" s="68"/>
    </row>
    <row r="1373" spans="1:9" x14ac:dyDescent="0.25">
      <c r="A1373" s="56">
        <v>4</v>
      </c>
      <c r="B1373" s="76" t="s">
        <v>44</v>
      </c>
      <c r="C1373" s="66">
        <v>1</v>
      </c>
      <c r="D1373" s="66">
        <f>C1373-G1373-H1373</f>
        <v>0.75</v>
      </c>
      <c r="E1373" s="66">
        <f>D1373-F1373</f>
        <v>0</v>
      </c>
      <c r="F1373" s="67">
        <v>0.75</v>
      </c>
      <c r="G1373" s="61">
        <v>0.25</v>
      </c>
      <c r="H1373" s="68"/>
    </row>
    <row r="1374" spans="1:9" x14ac:dyDescent="0.25">
      <c r="A1374" s="61">
        <v>5</v>
      </c>
      <c r="B1374" s="76" t="s">
        <v>45</v>
      </c>
      <c r="C1374" s="66">
        <f>4+0.5-0.5+1</f>
        <v>5</v>
      </c>
      <c r="D1374" s="66">
        <f>C1374-G1374-H1374</f>
        <v>1.5</v>
      </c>
      <c r="E1374" s="66">
        <f>D1374-F1374</f>
        <v>0</v>
      </c>
      <c r="F1374" s="67">
        <f>0.75+0.75</f>
        <v>1.5</v>
      </c>
      <c r="G1374" s="68">
        <f>2+0.5-0.5+0.5+1</f>
        <v>3.5</v>
      </c>
      <c r="H1374" s="68"/>
      <c r="I1374" s="14"/>
    </row>
    <row r="1375" spans="1:9" x14ac:dyDescent="0.25">
      <c r="A1375" s="61"/>
      <c r="B1375" s="72" t="s">
        <v>596</v>
      </c>
      <c r="C1375" s="73">
        <f t="shared" ref="C1375:H1375" si="539">SUM(C1370:C1374)</f>
        <v>12.25</v>
      </c>
      <c r="D1375" s="73">
        <f t="shared" si="539"/>
        <v>5.75</v>
      </c>
      <c r="E1375" s="73">
        <f t="shared" si="539"/>
        <v>0</v>
      </c>
      <c r="F1375" s="74">
        <f t="shared" si="539"/>
        <v>5.75</v>
      </c>
      <c r="G1375" s="73">
        <f t="shared" si="539"/>
        <v>6.5</v>
      </c>
      <c r="H1375" s="73">
        <f t="shared" si="539"/>
        <v>0</v>
      </c>
    </row>
    <row r="1376" spans="1:9" x14ac:dyDescent="0.25">
      <c r="A1376" s="61"/>
      <c r="B1376" s="72"/>
      <c r="C1376" s="83">
        <f t="shared" ref="C1376:H1376" si="540">SUM(C1377:C1379)</f>
        <v>12.25</v>
      </c>
      <c r="D1376" s="83">
        <f t="shared" si="540"/>
        <v>5.75</v>
      </c>
      <c r="E1376" s="83">
        <f t="shared" si="540"/>
        <v>0</v>
      </c>
      <c r="F1376" s="84">
        <f t="shared" si="540"/>
        <v>5.75</v>
      </c>
      <c r="G1376" s="83">
        <f t="shared" si="540"/>
        <v>6.5</v>
      </c>
      <c r="H1376" s="83">
        <f t="shared" si="540"/>
        <v>0</v>
      </c>
    </row>
    <row r="1377" spans="1:8" x14ac:dyDescent="0.25">
      <c r="A1377" s="61"/>
      <c r="B1377" s="82" t="s">
        <v>211</v>
      </c>
      <c r="C1377" s="73">
        <f t="shared" ref="C1377:H1377" si="541">C1370</f>
        <v>0.25</v>
      </c>
      <c r="D1377" s="73">
        <f t="shared" si="541"/>
        <v>0.25</v>
      </c>
      <c r="E1377" s="73">
        <f t="shared" si="541"/>
        <v>0</v>
      </c>
      <c r="F1377" s="74">
        <f t="shared" si="541"/>
        <v>0.25</v>
      </c>
      <c r="G1377" s="73">
        <f t="shared" si="541"/>
        <v>0</v>
      </c>
      <c r="H1377" s="73">
        <f t="shared" si="541"/>
        <v>0</v>
      </c>
    </row>
    <row r="1378" spans="1:8" x14ac:dyDescent="0.25">
      <c r="A1378" s="61"/>
      <c r="B1378" s="82" t="s">
        <v>583</v>
      </c>
      <c r="C1378" s="73">
        <f t="shared" ref="C1378:H1378" si="542">C1371+C1372</f>
        <v>6</v>
      </c>
      <c r="D1378" s="73">
        <f t="shared" si="542"/>
        <v>3.25</v>
      </c>
      <c r="E1378" s="73">
        <f t="shared" si="542"/>
        <v>0</v>
      </c>
      <c r="F1378" s="74">
        <f t="shared" si="542"/>
        <v>3.25</v>
      </c>
      <c r="G1378" s="73">
        <f t="shared" si="542"/>
        <v>2.75</v>
      </c>
      <c r="H1378" s="73">
        <f t="shared" si="542"/>
        <v>0</v>
      </c>
    </row>
    <row r="1379" spans="1:8" x14ac:dyDescent="0.25">
      <c r="A1379" s="61"/>
      <c r="B1379" s="82" t="s">
        <v>179</v>
      </c>
      <c r="C1379" s="73">
        <f t="shared" ref="C1379:H1379" si="543">C1374+C1373</f>
        <v>6</v>
      </c>
      <c r="D1379" s="73">
        <f t="shared" si="543"/>
        <v>2.25</v>
      </c>
      <c r="E1379" s="73">
        <f t="shared" si="543"/>
        <v>0</v>
      </c>
      <c r="F1379" s="74">
        <f t="shared" si="543"/>
        <v>2.25</v>
      </c>
      <c r="G1379" s="73">
        <f t="shared" si="543"/>
        <v>3.75</v>
      </c>
      <c r="H1379" s="73">
        <f t="shared" si="543"/>
        <v>0</v>
      </c>
    </row>
    <row r="1380" spans="1:8" x14ac:dyDescent="0.25">
      <c r="A1380" s="61"/>
      <c r="B1380" s="33" t="s">
        <v>235</v>
      </c>
      <c r="C1380" s="68"/>
      <c r="D1380" s="68"/>
      <c r="E1380" s="68"/>
      <c r="F1380" s="71"/>
      <c r="G1380" s="60"/>
      <c r="H1380" s="61"/>
    </row>
    <row r="1381" spans="1:8" ht="26.25" x14ac:dyDescent="0.25">
      <c r="A1381" s="134">
        <v>1</v>
      </c>
      <c r="B1381" s="88" t="s">
        <v>236</v>
      </c>
      <c r="C1381" s="68">
        <v>1</v>
      </c>
      <c r="D1381" s="68">
        <f t="shared" ref="D1381:D1387" si="544">C1381-G1381-H1381</f>
        <v>0.75</v>
      </c>
      <c r="E1381" s="66">
        <f t="shared" ref="E1381:E1387" si="545">D1381-F1381</f>
        <v>0</v>
      </c>
      <c r="F1381" s="71">
        <v>0.75</v>
      </c>
      <c r="G1381" s="61">
        <v>0.25</v>
      </c>
      <c r="H1381" s="68"/>
    </row>
    <row r="1382" spans="1:8" x14ac:dyDescent="0.25">
      <c r="A1382" s="134">
        <v>2</v>
      </c>
      <c r="B1382" s="76" t="s">
        <v>237</v>
      </c>
      <c r="C1382" s="68">
        <v>3.75</v>
      </c>
      <c r="D1382" s="68">
        <f t="shared" si="544"/>
        <v>1</v>
      </c>
      <c r="E1382" s="66">
        <f t="shared" si="545"/>
        <v>0</v>
      </c>
      <c r="F1382" s="71">
        <f>0.5+0.5</f>
        <v>1</v>
      </c>
      <c r="G1382" s="68">
        <f>0.5+0.5+2-0.5</f>
        <v>2.5</v>
      </c>
      <c r="H1382" s="68">
        <v>0.25</v>
      </c>
    </row>
    <row r="1383" spans="1:8" x14ac:dyDescent="0.25">
      <c r="A1383" s="134">
        <v>3</v>
      </c>
      <c r="B1383" s="86" t="s">
        <v>53</v>
      </c>
      <c r="C1383" s="68">
        <v>1</v>
      </c>
      <c r="D1383" s="68">
        <f t="shared" si="544"/>
        <v>0.5</v>
      </c>
      <c r="E1383" s="66">
        <f t="shared" si="545"/>
        <v>0</v>
      </c>
      <c r="F1383" s="71">
        <v>0.5</v>
      </c>
      <c r="G1383" s="68">
        <v>0.5</v>
      </c>
      <c r="H1383" s="68"/>
    </row>
    <row r="1384" spans="1:8" x14ac:dyDescent="0.25">
      <c r="A1384" s="134">
        <v>4</v>
      </c>
      <c r="B1384" s="76" t="s">
        <v>238</v>
      </c>
      <c r="C1384" s="68">
        <f>4.5-1</f>
        <v>3.5</v>
      </c>
      <c r="D1384" s="68">
        <f t="shared" si="544"/>
        <v>0.5</v>
      </c>
      <c r="E1384" s="66">
        <f t="shared" si="545"/>
        <v>0</v>
      </c>
      <c r="F1384" s="71">
        <f>0.5</f>
        <v>0.5</v>
      </c>
      <c r="G1384" s="68">
        <f>0.5+0.5+2</f>
        <v>3</v>
      </c>
      <c r="H1384" s="68"/>
    </row>
    <row r="1385" spans="1:8" x14ac:dyDescent="0.25">
      <c r="A1385" s="134">
        <v>5</v>
      </c>
      <c r="B1385" s="76" t="s">
        <v>297</v>
      </c>
      <c r="C1385" s="68">
        <v>1</v>
      </c>
      <c r="D1385" s="68">
        <f t="shared" si="544"/>
        <v>0</v>
      </c>
      <c r="E1385" s="66">
        <f t="shared" si="545"/>
        <v>0</v>
      </c>
      <c r="F1385" s="71"/>
      <c r="G1385" s="68">
        <f>0.25+0.75</f>
        <v>1</v>
      </c>
      <c r="H1385" s="68"/>
    </row>
    <row r="1386" spans="1:8" x14ac:dyDescent="0.25">
      <c r="A1386" s="134">
        <v>6</v>
      </c>
      <c r="B1386" s="76" t="s">
        <v>44</v>
      </c>
      <c r="C1386" s="68">
        <v>1</v>
      </c>
      <c r="D1386" s="68">
        <f t="shared" si="544"/>
        <v>0.5</v>
      </c>
      <c r="E1386" s="66">
        <f t="shared" si="545"/>
        <v>0</v>
      </c>
      <c r="F1386" s="71">
        <v>0.5</v>
      </c>
      <c r="G1386" s="68">
        <v>0.5</v>
      </c>
      <c r="H1386" s="68"/>
    </row>
    <row r="1387" spans="1:8" x14ac:dyDescent="0.25">
      <c r="A1387" s="134">
        <v>7</v>
      </c>
      <c r="B1387" s="76" t="s">
        <v>45</v>
      </c>
      <c r="C1387" s="68">
        <v>0.5</v>
      </c>
      <c r="D1387" s="68">
        <f t="shared" si="544"/>
        <v>0</v>
      </c>
      <c r="E1387" s="66">
        <f t="shared" si="545"/>
        <v>0</v>
      </c>
      <c r="F1387" s="71"/>
      <c r="G1387" s="68">
        <v>0.5</v>
      </c>
      <c r="H1387" s="68"/>
    </row>
    <row r="1388" spans="1:8" x14ac:dyDescent="0.25">
      <c r="A1388" s="134"/>
      <c r="B1388" s="72" t="s">
        <v>57</v>
      </c>
      <c r="C1388" s="73">
        <f t="shared" ref="C1388:H1388" si="546">SUM(C1381:C1387)</f>
        <v>11.75</v>
      </c>
      <c r="D1388" s="73">
        <f t="shared" si="546"/>
        <v>3.25</v>
      </c>
      <c r="E1388" s="73">
        <f t="shared" si="546"/>
        <v>0</v>
      </c>
      <c r="F1388" s="74">
        <f t="shared" si="546"/>
        <v>3.25</v>
      </c>
      <c r="G1388" s="73">
        <f t="shared" si="546"/>
        <v>8.25</v>
      </c>
      <c r="H1388" s="73">
        <f t="shared" si="546"/>
        <v>0.25</v>
      </c>
    </row>
    <row r="1389" spans="1:8" x14ac:dyDescent="0.25">
      <c r="A1389" s="56"/>
      <c r="B1389" s="33" t="s">
        <v>245</v>
      </c>
      <c r="C1389" s="73"/>
      <c r="D1389" s="73"/>
      <c r="E1389" s="73"/>
      <c r="F1389" s="74"/>
      <c r="G1389" s="60"/>
      <c r="H1389" s="61"/>
    </row>
    <row r="1390" spans="1:8" x14ac:dyDescent="0.25">
      <c r="A1390" s="56">
        <v>1</v>
      </c>
      <c r="B1390" s="86" t="s">
        <v>53</v>
      </c>
      <c r="C1390" s="66">
        <f>1-0.5+0.5</f>
        <v>1</v>
      </c>
      <c r="D1390" s="66">
        <f>C1390-G1390-H1390</f>
        <v>0.25</v>
      </c>
      <c r="E1390" s="66">
        <f>D1390-F1390</f>
        <v>0.25</v>
      </c>
      <c r="F1390" s="67"/>
      <c r="G1390" s="61">
        <f>0.25+0.5</f>
        <v>0.75</v>
      </c>
      <c r="H1390" s="68"/>
    </row>
    <row r="1391" spans="1:8" x14ac:dyDescent="0.25">
      <c r="A1391" s="56">
        <v>2</v>
      </c>
      <c r="B1391" s="65" t="s">
        <v>246</v>
      </c>
      <c r="C1391" s="68">
        <f>1+0.5-0.5</f>
        <v>1</v>
      </c>
      <c r="D1391" s="68">
        <f>C1391-G1391-H1391</f>
        <v>0</v>
      </c>
      <c r="E1391" s="66">
        <f>D1391-F1391</f>
        <v>0</v>
      </c>
      <c r="F1391" s="71"/>
      <c r="G1391" s="68">
        <f>0.5+0.5</f>
        <v>1</v>
      </c>
      <c r="H1391" s="68"/>
    </row>
    <row r="1392" spans="1:8" x14ac:dyDescent="0.25">
      <c r="A1392" s="56">
        <v>3</v>
      </c>
      <c r="B1392" s="65" t="s">
        <v>45</v>
      </c>
      <c r="C1392" s="68">
        <v>1</v>
      </c>
      <c r="D1392" s="68">
        <f>C1392-G1392-H1392</f>
        <v>0</v>
      </c>
      <c r="E1392" s="66">
        <f>D1392-F1392</f>
        <v>0</v>
      </c>
      <c r="F1392" s="71"/>
      <c r="G1392" s="68">
        <v>1</v>
      </c>
      <c r="H1392" s="68"/>
    </row>
    <row r="1393" spans="1:8" x14ac:dyDescent="0.25">
      <c r="A1393" s="56"/>
      <c r="B1393" s="106" t="s">
        <v>20</v>
      </c>
      <c r="C1393" s="73">
        <f t="shared" ref="C1393:H1393" si="547">SUM(C1390:C1392)</f>
        <v>3</v>
      </c>
      <c r="D1393" s="73">
        <f t="shared" si="547"/>
        <v>0.25</v>
      </c>
      <c r="E1393" s="73">
        <f t="shared" si="547"/>
        <v>0.25</v>
      </c>
      <c r="F1393" s="74">
        <f t="shared" si="547"/>
        <v>0</v>
      </c>
      <c r="G1393" s="73">
        <f t="shared" si="547"/>
        <v>2.75</v>
      </c>
      <c r="H1393" s="73">
        <f t="shared" si="547"/>
        <v>0</v>
      </c>
    </row>
    <row r="1394" spans="1:8" x14ac:dyDescent="0.25">
      <c r="A1394" s="56"/>
      <c r="B1394" s="106"/>
      <c r="C1394" s="73"/>
      <c r="D1394" s="73"/>
      <c r="E1394" s="73"/>
      <c r="F1394" s="74"/>
      <c r="G1394" s="60"/>
      <c r="H1394" s="61"/>
    </row>
    <row r="1395" spans="1:8" x14ac:dyDescent="0.25">
      <c r="A1395" s="56"/>
      <c r="B1395" s="79" t="s">
        <v>247</v>
      </c>
      <c r="C1395" s="73"/>
      <c r="D1395" s="73"/>
      <c r="E1395" s="73"/>
      <c r="F1395" s="74"/>
      <c r="G1395" s="60"/>
      <c r="H1395" s="61"/>
    </row>
    <row r="1396" spans="1:8" ht="26.25" x14ac:dyDescent="0.25">
      <c r="A1396" s="134">
        <v>1</v>
      </c>
      <c r="B1396" s="88" t="s">
        <v>248</v>
      </c>
      <c r="C1396" s="66">
        <v>1</v>
      </c>
      <c r="D1396" s="66">
        <f>C1396-G1396-H1396</f>
        <v>0.75</v>
      </c>
      <c r="E1396" s="66">
        <f>D1396-F1396</f>
        <v>0.75</v>
      </c>
      <c r="F1396" s="67"/>
      <c r="G1396" s="61">
        <v>0.25</v>
      </c>
      <c r="H1396" s="68"/>
    </row>
    <row r="1397" spans="1:8" x14ac:dyDescent="0.25">
      <c r="A1397" s="134">
        <v>2</v>
      </c>
      <c r="B1397" s="88" t="s">
        <v>249</v>
      </c>
      <c r="C1397" s="66">
        <v>1</v>
      </c>
      <c r="D1397" s="66">
        <f>C1397-G1397-H1397</f>
        <v>0.75</v>
      </c>
      <c r="E1397" s="66">
        <f>D1397-F1397</f>
        <v>0.75</v>
      </c>
      <c r="F1397" s="67"/>
      <c r="G1397" s="61">
        <v>0.25</v>
      </c>
      <c r="H1397" s="68"/>
    </row>
    <row r="1398" spans="1:8" x14ac:dyDescent="0.25">
      <c r="A1398" s="61"/>
      <c r="B1398" s="106" t="s">
        <v>20</v>
      </c>
      <c r="C1398" s="73">
        <f t="shared" ref="C1398:H1398" si="548">SUM(C1396:C1397)</f>
        <v>2</v>
      </c>
      <c r="D1398" s="73">
        <f t="shared" si="548"/>
        <v>1.5</v>
      </c>
      <c r="E1398" s="73">
        <f t="shared" si="548"/>
        <v>1.5</v>
      </c>
      <c r="F1398" s="74">
        <f t="shared" si="548"/>
        <v>0</v>
      </c>
      <c r="G1398" s="73">
        <f t="shared" si="548"/>
        <v>0.5</v>
      </c>
      <c r="H1398" s="73">
        <f t="shared" si="548"/>
        <v>0</v>
      </c>
    </row>
    <row r="1399" spans="1:8" x14ac:dyDescent="0.25">
      <c r="A1399" s="61"/>
      <c r="B1399" s="106"/>
      <c r="C1399" s="73"/>
      <c r="D1399" s="73"/>
      <c r="E1399" s="73"/>
      <c r="F1399" s="74"/>
      <c r="G1399" s="60"/>
      <c r="H1399" s="61"/>
    </row>
    <row r="1400" spans="1:8" x14ac:dyDescent="0.25">
      <c r="A1400" s="61"/>
      <c r="B1400" s="79" t="s">
        <v>98</v>
      </c>
      <c r="C1400" s="66"/>
      <c r="D1400" s="66"/>
      <c r="E1400" s="66"/>
      <c r="F1400" s="67"/>
      <c r="G1400" s="60"/>
      <c r="H1400" s="61"/>
    </row>
    <row r="1401" spans="1:8" x14ac:dyDescent="0.25">
      <c r="A1401" s="47">
        <v>3</v>
      </c>
      <c r="B1401" s="65" t="s">
        <v>100</v>
      </c>
      <c r="C1401" s="68">
        <f>1+1</f>
        <v>2</v>
      </c>
      <c r="D1401" s="68">
        <f t="shared" ref="D1401:D1414" si="549">C1401-G1401-H1401</f>
        <v>0.75</v>
      </c>
      <c r="E1401" s="66">
        <f t="shared" ref="E1401:E1414" si="550">D1401-F1401</f>
        <v>0.75</v>
      </c>
      <c r="F1401" s="71"/>
      <c r="G1401" s="68">
        <f>0.25+1</f>
        <v>1.25</v>
      </c>
      <c r="H1401" s="68"/>
    </row>
    <row r="1402" spans="1:8" x14ac:dyDescent="0.25">
      <c r="A1402" s="134">
        <v>4</v>
      </c>
      <c r="B1402" s="76" t="s">
        <v>252</v>
      </c>
      <c r="C1402" s="68">
        <f>0.5+1</f>
        <v>1.5</v>
      </c>
      <c r="D1402" s="68">
        <f t="shared" si="549"/>
        <v>0.5</v>
      </c>
      <c r="E1402" s="66">
        <f t="shared" si="550"/>
        <v>0.5</v>
      </c>
      <c r="F1402" s="71"/>
      <c r="G1402" s="68">
        <v>1</v>
      </c>
      <c r="H1402" s="68"/>
    </row>
    <row r="1403" spans="1:8" x14ac:dyDescent="0.25">
      <c r="A1403" s="134">
        <v>5</v>
      </c>
      <c r="B1403" s="65" t="s">
        <v>299</v>
      </c>
      <c r="C1403" s="68">
        <f>3-0.5+1</f>
        <v>3.5</v>
      </c>
      <c r="D1403" s="68">
        <f t="shared" si="549"/>
        <v>2.5</v>
      </c>
      <c r="E1403" s="66">
        <f t="shared" si="550"/>
        <v>2.5</v>
      </c>
      <c r="F1403" s="71"/>
      <c r="G1403" s="68">
        <v>1</v>
      </c>
      <c r="H1403" s="68"/>
    </row>
    <row r="1404" spans="1:8" ht="26.25" x14ac:dyDescent="0.25">
      <c r="A1404" s="134">
        <v>6</v>
      </c>
      <c r="B1404" s="88" t="s">
        <v>101</v>
      </c>
      <c r="C1404" s="68">
        <v>2</v>
      </c>
      <c r="D1404" s="68">
        <f t="shared" si="549"/>
        <v>1.5</v>
      </c>
      <c r="E1404" s="66">
        <f t="shared" si="550"/>
        <v>1.5</v>
      </c>
      <c r="F1404" s="71"/>
      <c r="G1404" s="68">
        <v>0.5</v>
      </c>
      <c r="H1404" s="68"/>
    </row>
    <row r="1405" spans="1:8" x14ac:dyDescent="0.25">
      <c r="A1405" s="134">
        <v>7</v>
      </c>
      <c r="B1405" s="65" t="s">
        <v>102</v>
      </c>
      <c r="C1405" s="68">
        <v>2</v>
      </c>
      <c r="D1405" s="68">
        <f t="shared" si="549"/>
        <v>1.5</v>
      </c>
      <c r="E1405" s="66">
        <f t="shared" si="550"/>
        <v>1.5</v>
      </c>
      <c r="F1405" s="71"/>
      <c r="G1405" s="68">
        <v>0.5</v>
      </c>
      <c r="H1405" s="68"/>
    </row>
    <row r="1406" spans="1:8" x14ac:dyDescent="0.25">
      <c r="A1406" s="134">
        <v>8</v>
      </c>
      <c r="B1406" s="65" t="s">
        <v>255</v>
      </c>
      <c r="C1406" s="68">
        <v>1</v>
      </c>
      <c r="D1406" s="68">
        <f t="shared" si="549"/>
        <v>0.5</v>
      </c>
      <c r="E1406" s="66">
        <f t="shared" si="550"/>
        <v>0.5</v>
      </c>
      <c r="F1406" s="71"/>
      <c r="G1406" s="68">
        <v>0.5</v>
      </c>
      <c r="H1406" s="68"/>
    </row>
    <row r="1407" spans="1:8" x14ac:dyDescent="0.25">
      <c r="A1407" s="134">
        <v>9</v>
      </c>
      <c r="B1407" s="65" t="s">
        <v>103</v>
      </c>
      <c r="C1407" s="68">
        <v>1</v>
      </c>
      <c r="D1407" s="68">
        <f t="shared" si="549"/>
        <v>0.75</v>
      </c>
      <c r="E1407" s="66">
        <f t="shared" si="550"/>
        <v>0.75</v>
      </c>
      <c r="F1407" s="71"/>
      <c r="G1407" s="68">
        <v>0.25</v>
      </c>
      <c r="H1407" s="68"/>
    </row>
    <row r="1408" spans="1:8" x14ac:dyDescent="0.25">
      <c r="A1408" s="134">
        <v>10</v>
      </c>
      <c r="B1408" s="65" t="s">
        <v>316</v>
      </c>
      <c r="C1408" s="68">
        <v>1</v>
      </c>
      <c r="D1408" s="68">
        <f t="shared" si="549"/>
        <v>0.75</v>
      </c>
      <c r="E1408" s="66">
        <f t="shared" si="550"/>
        <v>0.75</v>
      </c>
      <c r="F1408" s="71"/>
      <c r="G1408" s="68">
        <v>0.25</v>
      </c>
      <c r="H1408" s="68"/>
    </row>
    <row r="1409" spans="1:8" x14ac:dyDescent="0.25">
      <c r="A1409" s="134">
        <v>11</v>
      </c>
      <c r="B1409" s="65" t="s">
        <v>106</v>
      </c>
      <c r="C1409" s="68">
        <f>1+1</f>
        <v>2</v>
      </c>
      <c r="D1409" s="68">
        <f t="shared" si="549"/>
        <v>1</v>
      </c>
      <c r="E1409" s="66">
        <f t="shared" si="550"/>
        <v>1</v>
      </c>
      <c r="F1409" s="71"/>
      <c r="G1409" s="68">
        <v>1</v>
      </c>
      <c r="H1409" s="68"/>
    </row>
    <row r="1410" spans="1:8" x14ac:dyDescent="0.25">
      <c r="A1410" s="134">
        <v>12</v>
      </c>
      <c r="B1410" s="65" t="s">
        <v>105</v>
      </c>
      <c r="C1410" s="68">
        <v>4.5</v>
      </c>
      <c r="D1410" s="68">
        <f t="shared" si="549"/>
        <v>3.5</v>
      </c>
      <c r="E1410" s="66">
        <f t="shared" si="550"/>
        <v>3.5</v>
      </c>
      <c r="F1410" s="71"/>
      <c r="G1410" s="68">
        <f>0.75+0.25</f>
        <v>1</v>
      </c>
      <c r="H1410" s="68"/>
    </row>
    <row r="1411" spans="1:8" ht="31.5" x14ac:dyDescent="0.25">
      <c r="A1411" s="134">
        <v>13</v>
      </c>
      <c r="B1411" s="22" t="s">
        <v>543</v>
      </c>
      <c r="C1411" s="68">
        <v>1</v>
      </c>
      <c r="D1411" s="68">
        <f t="shared" si="549"/>
        <v>0</v>
      </c>
      <c r="E1411" s="66">
        <f t="shared" si="550"/>
        <v>0</v>
      </c>
      <c r="F1411" s="71"/>
      <c r="G1411" s="68">
        <v>1</v>
      </c>
      <c r="H1411" s="68"/>
    </row>
    <row r="1412" spans="1:8" ht="15.75" x14ac:dyDescent="0.25">
      <c r="A1412" s="134">
        <v>14</v>
      </c>
      <c r="B1412" s="22" t="s">
        <v>477</v>
      </c>
      <c r="C1412" s="68">
        <v>7.75</v>
      </c>
      <c r="D1412" s="68">
        <f t="shared" si="549"/>
        <v>0</v>
      </c>
      <c r="E1412" s="66">
        <f t="shared" si="550"/>
        <v>0</v>
      </c>
      <c r="F1412" s="71"/>
      <c r="G1412" s="68">
        <v>3</v>
      </c>
      <c r="H1412" s="68">
        <v>4.75</v>
      </c>
    </row>
    <row r="1413" spans="1:8" ht="15.75" x14ac:dyDescent="0.25">
      <c r="A1413" s="134">
        <v>15</v>
      </c>
      <c r="B1413" s="22" t="s">
        <v>544</v>
      </c>
      <c r="C1413" s="68">
        <v>1.5</v>
      </c>
      <c r="D1413" s="68">
        <f t="shared" si="549"/>
        <v>0</v>
      </c>
      <c r="E1413" s="66">
        <f t="shared" si="550"/>
        <v>0</v>
      </c>
      <c r="F1413" s="71"/>
      <c r="G1413" s="68">
        <v>1.5</v>
      </c>
      <c r="H1413" s="68"/>
    </row>
    <row r="1414" spans="1:8" x14ac:dyDescent="0.25">
      <c r="A1414" s="134">
        <v>16</v>
      </c>
      <c r="B1414" s="76" t="s">
        <v>104</v>
      </c>
      <c r="C1414" s="68">
        <v>4</v>
      </c>
      <c r="D1414" s="68">
        <f t="shared" si="549"/>
        <v>3</v>
      </c>
      <c r="E1414" s="66">
        <f t="shared" si="550"/>
        <v>3</v>
      </c>
      <c r="F1414" s="71"/>
      <c r="G1414" s="68">
        <v>1</v>
      </c>
      <c r="H1414" s="68"/>
    </row>
    <row r="1415" spans="1:8" x14ac:dyDescent="0.25">
      <c r="A1415" s="60"/>
      <c r="B1415" s="72" t="s">
        <v>54</v>
      </c>
      <c r="C1415" s="73">
        <f t="shared" ref="C1415:H1415" si="551">SUM(C1401:C1414)</f>
        <v>34.75</v>
      </c>
      <c r="D1415" s="73">
        <f t="shared" si="551"/>
        <v>16.25</v>
      </c>
      <c r="E1415" s="73">
        <f t="shared" si="551"/>
        <v>16.25</v>
      </c>
      <c r="F1415" s="74">
        <f t="shared" si="551"/>
        <v>0</v>
      </c>
      <c r="G1415" s="73">
        <f t="shared" si="551"/>
        <v>13.75</v>
      </c>
      <c r="H1415" s="73">
        <f t="shared" si="551"/>
        <v>4.75</v>
      </c>
    </row>
    <row r="1416" spans="1:8" x14ac:dyDescent="0.25">
      <c r="A1416" s="61"/>
      <c r="B1416" s="33" t="s">
        <v>300</v>
      </c>
      <c r="C1416" s="68"/>
      <c r="D1416" s="68"/>
      <c r="E1416" s="68"/>
      <c r="F1416" s="71"/>
      <c r="G1416" s="60"/>
      <c r="H1416" s="61"/>
    </row>
    <row r="1417" spans="1:8" x14ac:dyDescent="0.25">
      <c r="A1417" s="134">
        <v>19</v>
      </c>
      <c r="B1417" s="86" t="s">
        <v>257</v>
      </c>
      <c r="C1417" s="66">
        <f>1+1</f>
        <v>2</v>
      </c>
      <c r="D1417" s="66">
        <f>C1417-G1417-H1417</f>
        <v>0.25</v>
      </c>
      <c r="E1417" s="66">
        <f>D1417-F1417</f>
        <v>0.25</v>
      </c>
      <c r="F1417" s="67"/>
      <c r="G1417" s="61">
        <f>0.25+0.5</f>
        <v>0.75</v>
      </c>
      <c r="H1417" s="68">
        <v>1</v>
      </c>
    </row>
    <row r="1418" spans="1:8" x14ac:dyDescent="0.25">
      <c r="A1418" s="134">
        <v>20</v>
      </c>
      <c r="B1418" s="76" t="s">
        <v>258</v>
      </c>
      <c r="C1418" s="66">
        <v>1</v>
      </c>
      <c r="D1418" s="66">
        <f>C1418-G1418-H1418</f>
        <v>0.25</v>
      </c>
      <c r="E1418" s="66">
        <f>D1418-F1418</f>
        <v>0.25</v>
      </c>
      <c r="F1418" s="67"/>
      <c r="G1418" s="61">
        <f>0.25+0.5</f>
        <v>0.75</v>
      </c>
      <c r="H1418" s="68"/>
    </row>
    <row r="1419" spans="1:8" x14ac:dyDescent="0.25">
      <c r="A1419" s="47">
        <v>21</v>
      </c>
      <c r="B1419" s="65" t="s">
        <v>259</v>
      </c>
      <c r="C1419" s="68">
        <f>3-1+0.5+2</f>
        <v>4.5</v>
      </c>
      <c r="D1419" s="68">
        <f>C1419-G1419-H1419</f>
        <v>0.5</v>
      </c>
      <c r="E1419" s="66">
        <f>D1419-F1419</f>
        <v>0.5</v>
      </c>
      <c r="F1419" s="71"/>
      <c r="G1419" s="68">
        <f>0.5+1.5</f>
        <v>2</v>
      </c>
      <c r="H1419" s="68">
        <v>2</v>
      </c>
    </row>
    <row r="1420" spans="1:8" x14ac:dyDescent="0.25">
      <c r="A1420" s="134">
        <v>22</v>
      </c>
      <c r="B1420" s="65" t="s">
        <v>260</v>
      </c>
      <c r="C1420" s="68">
        <f>2+0.5-0.5+2</f>
        <v>4</v>
      </c>
      <c r="D1420" s="68">
        <f>C1420-G1420-H1420</f>
        <v>0.5</v>
      </c>
      <c r="E1420" s="66">
        <f>D1420-F1420</f>
        <v>0.5</v>
      </c>
      <c r="F1420" s="71"/>
      <c r="G1420" s="68">
        <f>0.5+1</f>
        <v>1.5</v>
      </c>
      <c r="H1420" s="68">
        <v>2</v>
      </c>
    </row>
    <row r="1421" spans="1:8" x14ac:dyDescent="0.25">
      <c r="A1421" s="134">
        <v>23</v>
      </c>
      <c r="B1421" s="65" t="s">
        <v>106</v>
      </c>
      <c r="C1421" s="68">
        <v>1</v>
      </c>
      <c r="D1421" s="68">
        <f>C1421-G1421-H1421</f>
        <v>1</v>
      </c>
      <c r="E1421" s="66">
        <f>D1421-F1421</f>
        <v>1</v>
      </c>
      <c r="F1421" s="71"/>
      <c r="G1421" s="61"/>
      <c r="H1421" s="68"/>
    </row>
    <row r="1422" spans="1:8" x14ac:dyDescent="0.25">
      <c r="A1422" s="61"/>
      <c r="B1422" s="72" t="s">
        <v>54</v>
      </c>
      <c r="C1422" s="73">
        <f t="shared" ref="C1422:H1422" si="552">SUM(C1417:C1421)</f>
        <v>12.5</v>
      </c>
      <c r="D1422" s="73">
        <f t="shared" si="552"/>
        <v>2.5</v>
      </c>
      <c r="E1422" s="73">
        <f t="shared" si="552"/>
        <v>2.5</v>
      </c>
      <c r="F1422" s="74">
        <f t="shared" si="552"/>
        <v>0</v>
      </c>
      <c r="G1422" s="73">
        <f t="shared" si="552"/>
        <v>5</v>
      </c>
      <c r="H1422" s="73">
        <f t="shared" si="552"/>
        <v>5</v>
      </c>
    </row>
    <row r="1423" spans="1:8" x14ac:dyDescent="0.25">
      <c r="A1423" s="61"/>
      <c r="B1423" s="72"/>
      <c r="C1423" s="73"/>
      <c r="D1423" s="73"/>
      <c r="E1423" s="73"/>
      <c r="F1423" s="74"/>
      <c r="G1423" s="73"/>
      <c r="H1423" s="73"/>
    </row>
    <row r="1424" spans="1:8" ht="15.75" x14ac:dyDescent="0.25">
      <c r="A1424" s="61"/>
      <c r="B1424" s="221" t="s">
        <v>620</v>
      </c>
      <c r="C1424" s="73"/>
      <c r="D1424" s="73"/>
      <c r="E1424" s="73"/>
      <c r="F1424" s="74"/>
      <c r="G1424" s="73"/>
      <c r="H1424" s="73"/>
    </row>
    <row r="1425" spans="1:8" x14ac:dyDescent="0.25">
      <c r="A1425" s="90" t="s">
        <v>546</v>
      </c>
      <c r="B1425" s="5"/>
      <c r="C1425" s="73"/>
      <c r="D1425" s="73"/>
      <c r="E1425" s="73"/>
      <c r="F1425" s="74"/>
      <c r="G1425" s="73"/>
      <c r="H1425" s="73"/>
    </row>
    <row r="1426" spans="1:8" ht="15.75" x14ac:dyDescent="0.25">
      <c r="A1426" s="23"/>
      <c r="B1426" s="24" t="s">
        <v>39</v>
      </c>
      <c r="C1426" s="25"/>
      <c r="D1426" s="161"/>
      <c r="E1426" s="161"/>
      <c r="F1426" s="294"/>
      <c r="G1426" s="161"/>
      <c r="H1426" s="73"/>
    </row>
    <row r="1427" spans="1:8" ht="15.75" x14ac:dyDescent="0.25">
      <c r="A1427" s="26">
        <v>1</v>
      </c>
      <c r="B1427" s="27" t="s">
        <v>209</v>
      </c>
      <c r="C1427" s="28">
        <v>1</v>
      </c>
      <c r="D1427" s="66">
        <f>C1427-G1427-H1427</f>
        <v>0</v>
      </c>
      <c r="E1427" s="66">
        <f>D1427-F1427</f>
        <v>0</v>
      </c>
      <c r="F1427" s="67"/>
      <c r="G1427" s="28">
        <v>1</v>
      </c>
      <c r="H1427" s="73"/>
    </row>
    <row r="1428" spans="1:8" ht="15.75" x14ac:dyDescent="0.25">
      <c r="A1428" s="29">
        <v>3</v>
      </c>
      <c r="B1428" s="22" t="s">
        <v>94</v>
      </c>
      <c r="C1428" s="28">
        <v>1</v>
      </c>
      <c r="D1428" s="66">
        <f>C1428-G1428-H1428</f>
        <v>0</v>
      </c>
      <c r="E1428" s="66">
        <f>D1428-F1428</f>
        <v>0</v>
      </c>
      <c r="F1428" s="67"/>
      <c r="G1428" s="28">
        <v>1</v>
      </c>
      <c r="H1428" s="73"/>
    </row>
    <row r="1429" spans="1:8" ht="15.75" x14ac:dyDescent="0.25">
      <c r="A1429" s="29">
        <v>4</v>
      </c>
      <c r="B1429" s="22" t="s">
        <v>96</v>
      </c>
      <c r="C1429" s="28">
        <v>1</v>
      </c>
      <c r="D1429" s="66">
        <f>C1429-G1429-H1429</f>
        <v>0</v>
      </c>
      <c r="E1429" s="66">
        <f>D1429-F1429</f>
        <v>0</v>
      </c>
      <c r="F1429" s="67"/>
      <c r="G1429" s="28">
        <v>1</v>
      </c>
      <c r="H1429" s="73"/>
    </row>
    <row r="1430" spans="1:8" ht="15.75" x14ac:dyDescent="0.25">
      <c r="A1430" s="29">
        <v>5</v>
      </c>
      <c r="B1430" s="22" t="s">
        <v>45</v>
      </c>
      <c r="C1430" s="28">
        <v>2</v>
      </c>
      <c r="D1430" s="66">
        <f>C1430-G1430-H1430</f>
        <v>0</v>
      </c>
      <c r="E1430" s="66">
        <f>D1430-F1430</f>
        <v>0</v>
      </c>
      <c r="F1430" s="67"/>
      <c r="G1430" s="28">
        <v>2</v>
      </c>
      <c r="H1430" s="73"/>
    </row>
    <row r="1431" spans="1:8" ht="15.75" x14ac:dyDescent="0.25">
      <c r="A1431" s="23"/>
      <c r="B1431" s="30" t="s">
        <v>20</v>
      </c>
      <c r="C1431" s="31">
        <f>SUM(C1427:C1430)</f>
        <v>5</v>
      </c>
      <c r="D1431" s="31">
        <f>SUM(D1427:D1430)</f>
        <v>0</v>
      </c>
      <c r="E1431" s="31">
        <f>SUM(E1427:E1430)</f>
        <v>0</v>
      </c>
      <c r="F1431" s="32">
        <f>SUM(F1427:F1430)</f>
        <v>0</v>
      </c>
      <c r="G1431" s="31">
        <f>SUM(G1427:G1430)</f>
        <v>5</v>
      </c>
      <c r="H1431" s="31">
        <f>SUM(H1427:H1429)</f>
        <v>0</v>
      </c>
    </row>
    <row r="1432" spans="1:8" ht="15.75" x14ac:dyDescent="0.25">
      <c r="A1432" s="23"/>
      <c r="B1432" s="23" t="s">
        <v>77</v>
      </c>
      <c r="C1432" s="31"/>
      <c r="D1432" s="33"/>
      <c r="E1432" s="33"/>
      <c r="F1432" s="34"/>
      <c r="G1432" s="35"/>
      <c r="H1432" s="73"/>
    </row>
    <row r="1433" spans="1:8" ht="15.75" x14ac:dyDescent="0.25">
      <c r="A1433" s="29">
        <v>1</v>
      </c>
      <c r="B1433" s="22" t="s">
        <v>554</v>
      </c>
      <c r="C1433" s="28">
        <v>1</v>
      </c>
      <c r="D1433" s="66">
        <f>C1433-G1433-H1433</f>
        <v>0</v>
      </c>
      <c r="E1433" s="66">
        <f>D1433-F1433</f>
        <v>0</v>
      </c>
      <c r="F1433" s="67"/>
      <c r="G1433" s="35">
        <v>1</v>
      </c>
      <c r="H1433" s="73"/>
    </row>
    <row r="1434" spans="1:8" ht="15.75" x14ac:dyDescent="0.25">
      <c r="A1434" s="29">
        <v>2</v>
      </c>
      <c r="B1434" s="22" t="s">
        <v>79</v>
      </c>
      <c r="C1434" s="28">
        <v>1</v>
      </c>
      <c r="D1434" s="66">
        <f>C1434-G1434-H1434</f>
        <v>0</v>
      </c>
      <c r="E1434" s="66">
        <f>D1434-F1434</f>
        <v>0</v>
      </c>
      <c r="F1434" s="67"/>
      <c r="G1434" s="35">
        <v>1</v>
      </c>
      <c r="H1434" s="73"/>
    </row>
    <row r="1435" spans="1:8" ht="15.75" x14ac:dyDescent="0.25">
      <c r="A1435" s="23"/>
      <c r="B1435" s="30" t="s">
        <v>20</v>
      </c>
      <c r="C1435" s="31">
        <f t="shared" ref="C1435:H1435" si="553">SUM(C1433:C1434)</f>
        <v>2</v>
      </c>
      <c r="D1435" s="31">
        <f t="shared" si="553"/>
        <v>0</v>
      </c>
      <c r="E1435" s="31">
        <f t="shared" si="553"/>
        <v>0</v>
      </c>
      <c r="F1435" s="32">
        <f t="shared" si="553"/>
        <v>0</v>
      </c>
      <c r="G1435" s="31">
        <f t="shared" si="553"/>
        <v>2</v>
      </c>
      <c r="H1435" s="31">
        <f t="shared" si="553"/>
        <v>0</v>
      </c>
    </row>
    <row r="1436" spans="1:8" ht="15.75" x14ac:dyDescent="0.25">
      <c r="A1436" s="23"/>
      <c r="B1436" s="23" t="s">
        <v>89</v>
      </c>
      <c r="C1436" s="31"/>
      <c r="D1436" s="33"/>
      <c r="E1436" s="33"/>
      <c r="F1436" s="34"/>
      <c r="G1436" s="33"/>
      <c r="H1436" s="73"/>
    </row>
    <row r="1437" spans="1:8" ht="15.75" x14ac:dyDescent="0.25">
      <c r="A1437" s="29" t="s">
        <v>61</v>
      </c>
      <c r="B1437" s="22" t="s">
        <v>90</v>
      </c>
      <c r="C1437" s="28">
        <v>0.25</v>
      </c>
      <c r="D1437" s="66">
        <f>C1437-G1437-H1437</f>
        <v>0</v>
      </c>
      <c r="E1437" s="66">
        <f>D1437-F1437</f>
        <v>0</v>
      </c>
      <c r="F1437" s="67"/>
      <c r="G1437" s="36">
        <v>0.25</v>
      </c>
      <c r="H1437" s="73"/>
    </row>
    <row r="1438" spans="1:8" ht="15.75" x14ac:dyDescent="0.25">
      <c r="A1438" s="29" t="s">
        <v>63</v>
      </c>
      <c r="B1438" s="22" t="s">
        <v>64</v>
      </c>
      <c r="C1438" s="28">
        <v>0.25</v>
      </c>
      <c r="D1438" s="66">
        <f>C1438-G1438-H1438</f>
        <v>0</v>
      </c>
      <c r="E1438" s="66">
        <f>D1438-F1438</f>
        <v>0</v>
      </c>
      <c r="F1438" s="67"/>
      <c r="G1438" s="36">
        <v>0.25</v>
      </c>
      <c r="H1438" s="73"/>
    </row>
    <row r="1439" spans="1:8" ht="15.75" x14ac:dyDescent="0.25">
      <c r="A1439" s="23"/>
      <c r="B1439" s="30" t="s">
        <v>20</v>
      </c>
      <c r="C1439" s="31">
        <f t="shared" ref="C1439:H1439" si="554">SUM(C1437:C1438)</f>
        <v>0.5</v>
      </c>
      <c r="D1439" s="31">
        <f t="shared" si="554"/>
        <v>0</v>
      </c>
      <c r="E1439" s="31">
        <f t="shared" si="554"/>
        <v>0</v>
      </c>
      <c r="F1439" s="32">
        <f t="shared" si="554"/>
        <v>0</v>
      </c>
      <c r="G1439" s="31">
        <f t="shared" si="554"/>
        <v>0.5</v>
      </c>
      <c r="H1439" s="31">
        <f t="shared" si="554"/>
        <v>0</v>
      </c>
    </row>
    <row r="1440" spans="1:8" ht="15.75" x14ac:dyDescent="0.25">
      <c r="A1440" s="23"/>
      <c r="B1440" s="23" t="s">
        <v>540</v>
      </c>
      <c r="C1440" s="31"/>
      <c r="D1440" s="33"/>
      <c r="E1440" s="33"/>
      <c r="F1440" s="34"/>
      <c r="G1440" s="33"/>
      <c r="H1440" s="73"/>
    </row>
    <row r="1441" spans="1:9" ht="15.75" x14ac:dyDescent="0.25">
      <c r="A1441" s="29" t="s">
        <v>61</v>
      </c>
      <c r="B1441" s="22" t="s">
        <v>621</v>
      </c>
      <c r="C1441" s="28">
        <v>1</v>
      </c>
      <c r="D1441" s="66">
        <f>C1441-G1441-H1441</f>
        <v>0</v>
      </c>
      <c r="E1441" s="66">
        <f>D1441-F1441</f>
        <v>0</v>
      </c>
      <c r="F1441" s="67"/>
      <c r="G1441" s="35">
        <v>1</v>
      </c>
      <c r="H1441" s="73"/>
    </row>
    <row r="1442" spans="1:9" ht="15.75" x14ac:dyDescent="0.25">
      <c r="A1442" s="29" t="s">
        <v>63</v>
      </c>
      <c r="B1442" s="22" t="s">
        <v>79</v>
      </c>
      <c r="C1442" s="28">
        <v>1</v>
      </c>
      <c r="D1442" s="66">
        <f>C1442-G1442-H1442</f>
        <v>0</v>
      </c>
      <c r="E1442" s="66">
        <f>D1442-F1442</f>
        <v>0</v>
      </c>
      <c r="F1442" s="67"/>
      <c r="G1442" s="35">
        <v>1</v>
      </c>
      <c r="H1442" s="73"/>
    </row>
    <row r="1443" spans="1:9" ht="15.75" x14ac:dyDescent="0.25">
      <c r="A1443" s="23"/>
      <c r="B1443" s="30" t="s">
        <v>20</v>
      </c>
      <c r="C1443" s="31">
        <f t="shared" ref="C1443:H1443" si="555">SUM(C1441:C1442)</f>
        <v>2</v>
      </c>
      <c r="D1443" s="31">
        <f t="shared" si="555"/>
        <v>0</v>
      </c>
      <c r="E1443" s="31">
        <f t="shared" si="555"/>
        <v>0</v>
      </c>
      <c r="F1443" s="32">
        <f t="shared" si="555"/>
        <v>0</v>
      </c>
      <c r="G1443" s="31">
        <f t="shared" si="555"/>
        <v>2</v>
      </c>
      <c r="H1443" s="31">
        <f t="shared" si="555"/>
        <v>0</v>
      </c>
    </row>
    <row r="1444" spans="1:9" ht="15.75" x14ac:dyDescent="0.25">
      <c r="A1444" s="23"/>
      <c r="B1444" s="23" t="s">
        <v>155</v>
      </c>
      <c r="C1444" s="31"/>
      <c r="D1444" s="33"/>
      <c r="E1444" s="33"/>
      <c r="F1444" s="34"/>
      <c r="G1444" s="31"/>
      <c r="H1444" s="73"/>
    </row>
    <row r="1445" spans="1:9" ht="15.75" x14ac:dyDescent="0.25">
      <c r="A1445" s="23"/>
      <c r="B1445" s="23" t="s">
        <v>541</v>
      </c>
      <c r="C1445" s="31"/>
      <c r="D1445" s="33"/>
      <c r="E1445" s="33"/>
      <c r="F1445" s="34"/>
      <c r="G1445" s="31"/>
      <c r="H1445" s="73"/>
    </row>
    <row r="1446" spans="1:9" ht="15.75" x14ac:dyDescent="0.25">
      <c r="A1446" s="29">
        <v>1</v>
      </c>
      <c r="B1446" s="22" t="s">
        <v>32</v>
      </c>
      <c r="C1446" s="28">
        <v>0.25</v>
      </c>
      <c r="D1446" s="66">
        <f>C1446-G1446-H1446</f>
        <v>0</v>
      </c>
      <c r="E1446" s="66">
        <f>D1446-F1446</f>
        <v>0</v>
      </c>
      <c r="F1446" s="67"/>
      <c r="G1446" s="35">
        <v>0.25</v>
      </c>
      <c r="H1446" s="73"/>
    </row>
    <row r="1447" spans="1:9" ht="15.75" x14ac:dyDescent="0.25">
      <c r="A1447" s="29">
        <v>3</v>
      </c>
      <c r="B1447" s="22" t="s">
        <v>210</v>
      </c>
      <c r="C1447" s="28">
        <v>0.25</v>
      </c>
      <c r="D1447" s="66">
        <f>C1447-G1447-H1447</f>
        <v>0</v>
      </c>
      <c r="E1447" s="66">
        <f>D1447-F1447</f>
        <v>0</v>
      </c>
      <c r="F1447" s="67"/>
      <c r="G1447" s="36">
        <v>0.25</v>
      </c>
      <c r="H1447" s="73"/>
    </row>
    <row r="1448" spans="1:9" ht="15.75" x14ac:dyDescent="0.25">
      <c r="A1448" s="23"/>
      <c r="B1448" s="30" t="s">
        <v>20</v>
      </c>
      <c r="C1448" s="31">
        <f>SUM(C1446:C1447)</f>
        <v>0.5</v>
      </c>
      <c r="D1448" s="31">
        <f>SUM(D1446:D1447)</f>
        <v>0</v>
      </c>
      <c r="E1448" s="31">
        <f>SUM(E1446:E1447)</f>
        <v>0</v>
      </c>
      <c r="F1448" s="32">
        <f>SUM(F1446:F1447)</f>
        <v>0</v>
      </c>
      <c r="G1448" s="31">
        <f>SUM(G1446:G1447)</f>
        <v>0.5</v>
      </c>
      <c r="H1448" s="73"/>
    </row>
    <row r="1449" spans="1:9" ht="31.5" x14ac:dyDescent="0.25">
      <c r="A1449" s="37"/>
      <c r="B1449" s="38" t="s">
        <v>547</v>
      </c>
      <c r="C1449" s="39">
        <f t="shared" ref="C1449:H1449" si="556">C1448+C1443+C1439+C1435+C1431</f>
        <v>10</v>
      </c>
      <c r="D1449" s="39">
        <f t="shared" si="556"/>
        <v>0</v>
      </c>
      <c r="E1449" s="39">
        <f t="shared" si="556"/>
        <v>0</v>
      </c>
      <c r="F1449" s="40">
        <f t="shared" si="556"/>
        <v>0</v>
      </c>
      <c r="G1449" s="39">
        <f t="shared" si="556"/>
        <v>10</v>
      </c>
      <c r="H1449" s="39">
        <f t="shared" si="556"/>
        <v>0</v>
      </c>
    </row>
    <row r="1450" spans="1:9" ht="15.75" x14ac:dyDescent="0.25">
      <c r="A1450" s="37"/>
      <c r="B1450" s="41" t="s">
        <v>10</v>
      </c>
      <c r="C1450" s="42">
        <f t="shared" ref="C1450:H1450" si="557">SUM(C1451:C1453)</f>
        <v>10</v>
      </c>
      <c r="D1450" s="42">
        <f t="shared" si="557"/>
        <v>0</v>
      </c>
      <c r="E1450" s="42">
        <f t="shared" si="557"/>
        <v>0</v>
      </c>
      <c r="F1450" s="43">
        <f t="shared" si="557"/>
        <v>0</v>
      </c>
      <c r="G1450" s="42">
        <f t="shared" si="557"/>
        <v>10</v>
      </c>
      <c r="H1450" s="42">
        <f t="shared" si="557"/>
        <v>0</v>
      </c>
    </row>
    <row r="1451" spans="1:9" ht="15.75" x14ac:dyDescent="0.25">
      <c r="A1451" s="37"/>
      <c r="B1451" s="44" t="s">
        <v>461</v>
      </c>
      <c r="C1451" s="39">
        <f t="shared" ref="C1451:H1451" si="558">C1446+C1441+C1437+C1433+C1427</f>
        <v>3.5</v>
      </c>
      <c r="D1451" s="39">
        <f t="shared" si="558"/>
        <v>0</v>
      </c>
      <c r="E1451" s="39">
        <f t="shared" si="558"/>
        <v>0</v>
      </c>
      <c r="F1451" s="40">
        <f t="shared" si="558"/>
        <v>0</v>
      </c>
      <c r="G1451" s="39">
        <f t="shared" si="558"/>
        <v>3.5</v>
      </c>
      <c r="H1451" s="39">
        <f t="shared" si="558"/>
        <v>0</v>
      </c>
    </row>
    <row r="1452" spans="1:9" ht="31.5" x14ac:dyDescent="0.25">
      <c r="A1452" s="37"/>
      <c r="B1452" s="44" t="s">
        <v>545</v>
      </c>
      <c r="C1452" s="39">
        <f t="shared" ref="C1452:H1452" si="559">C1447+C1442+C1438+C1434+C1429+C1428</f>
        <v>4.5</v>
      </c>
      <c r="D1452" s="39">
        <f t="shared" si="559"/>
        <v>0</v>
      </c>
      <c r="E1452" s="39">
        <f t="shared" si="559"/>
        <v>0</v>
      </c>
      <c r="F1452" s="40">
        <f t="shared" si="559"/>
        <v>0</v>
      </c>
      <c r="G1452" s="39">
        <f t="shared" si="559"/>
        <v>4.5</v>
      </c>
      <c r="H1452" s="39">
        <f t="shared" si="559"/>
        <v>0</v>
      </c>
    </row>
    <row r="1453" spans="1:9" ht="31.5" x14ac:dyDescent="0.25">
      <c r="A1453" s="37"/>
      <c r="B1453" s="44" t="s">
        <v>542</v>
      </c>
      <c r="C1453" s="39">
        <f t="shared" ref="C1453:H1453" si="560">C1430</f>
        <v>2</v>
      </c>
      <c r="D1453" s="39">
        <f t="shared" si="560"/>
        <v>0</v>
      </c>
      <c r="E1453" s="39">
        <f t="shared" si="560"/>
        <v>0</v>
      </c>
      <c r="F1453" s="40">
        <f t="shared" si="560"/>
        <v>0</v>
      </c>
      <c r="G1453" s="39">
        <f t="shared" si="560"/>
        <v>2</v>
      </c>
      <c r="H1453" s="39">
        <f t="shared" si="560"/>
        <v>0</v>
      </c>
    </row>
    <row r="1454" spans="1:9" x14ac:dyDescent="0.25">
      <c r="A1454" s="61"/>
      <c r="B1454" s="72"/>
      <c r="C1454" s="73"/>
      <c r="D1454" s="73"/>
      <c r="E1454" s="73"/>
      <c r="F1454" s="74"/>
      <c r="G1454" s="73"/>
      <c r="H1454" s="73"/>
    </row>
    <row r="1455" spans="1:9" x14ac:dyDescent="0.25">
      <c r="A1455" s="56"/>
      <c r="B1455" s="138" t="s">
        <v>326</v>
      </c>
      <c r="C1455" s="139">
        <f t="shared" ref="C1455:H1455" si="561">C1422+C1415+C1398+C1393+C1388+C1375+C1364+C1350+C1321+C1306+C1296+C1290+C1335+C1449</f>
        <v>192.5</v>
      </c>
      <c r="D1455" s="139">
        <f t="shared" si="561"/>
        <v>45.75</v>
      </c>
      <c r="E1455" s="139">
        <f t="shared" si="561"/>
        <v>23.75</v>
      </c>
      <c r="F1455" s="139">
        <f t="shared" si="561"/>
        <v>22</v>
      </c>
      <c r="G1455" s="139">
        <f t="shared" si="561"/>
        <v>105.5</v>
      </c>
      <c r="H1455" s="139">
        <f t="shared" si="561"/>
        <v>41.25</v>
      </c>
      <c r="I1455" s="3">
        <f>SUM(E1455:H1455)</f>
        <v>192.5</v>
      </c>
    </row>
    <row r="1456" spans="1:9" x14ac:dyDescent="0.25">
      <c r="A1456" s="56"/>
      <c r="B1456" s="138" t="s">
        <v>131</v>
      </c>
      <c r="C1456" s="295">
        <f t="shared" ref="C1456" si="562">SUM(C1457:C1460)</f>
        <v>192.5</v>
      </c>
      <c r="D1456" s="295">
        <f t="shared" ref="D1456" si="563">SUM(D1457:D1460)</f>
        <v>45.75</v>
      </c>
      <c r="E1456" s="295">
        <f t="shared" ref="E1456" si="564">SUM(E1457:E1460)</f>
        <v>23.75</v>
      </c>
      <c r="F1456" s="295">
        <f t="shared" ref="F1456" si="565">SUM(F1457:F1460)</f>
        <v>22</v>
      </c>
      <c r="G1456" s="295">
        <f t="shared" ref="G1456" si="566">SUM(G1457:G1460)</f>
        <v>105.5</v>
      </c>
      <c r="H1456" s="295">
        <f t="shared" ref="H1456" si="567">SUM(H1457:H1460)</f>
        <v>41.25</v>
      </c>
      <c r="I1456" s="3">
        <f t="shared" ref="I1456:I1460" si="568">SUM(E1456:H1456)</f>
        <v>192.5</v>
      </c>
    </row>
    <row r="1457" spans="1:9" x14ac:dyDescent="0.25">
      <c r="A1457" s="56"/>
      <c r="B1457" s="157" t="s">
        <v>28</v>
      </c>
      <c r="C1457" s="139">
        <f t="shared" ref="C1457:H1457" si="569">C1382+C1381+C1377+C1366+C1352+C1323+C1308+C1292+C1337+C1451</f>
        <v>27.5</v>
      </c>
      <c r="D1457" s="139">
        <f t="shared" si="569"/>
        <v>6.75</v>
      </c>
      <c r="E1457" s="139">
        <f t="shared" si="569"/>
        <v>1.75</v>
      </c>
      <c r="F1457" s="139">
        <f t="shared" si="569"/>
        <v>5</v>
      </c>
      <c r="G1457" s="139">
        <f t="shared" si="569"/>
        <v>16.5</v>
      </c>
      <c r="H1457" s="139">
        <f t="shared" si="569"/>
        <v>4.25</v>
      </c>
      <c r="I1457" s="3">
        <f t="shared" si="568"/>
        <v>27.5</v>
      </c>
    </row>
    <row r="1458" spans="1:9" x14ac:dyDescent="0.25">
      <c r="A1458" s="56"/>
      <c r="B1458" s="157" t="s">
        <v>29</v>
      </c>
      <c r="C1458" s="139">
        <f t="shared" ref="C1458:H1458" si="570">C1391+C1390+C1385+C1384+C1383+C1378+C1367+C1353+C1324+C1309+C1295+C1293+C1338+C1452</f>
        <v>66.75</v>
      </c>
      <c r="D1458" s="139">
        <f t="shared" si="570"/>
        <v>11.25</v>
      </c>
      <c r="E1458" s="139">
        <f t="shared" si="570"/>
        <v>1.75</v>
      </c>
      <c r="F1458" s="139">
        <f t="shared" si="570"/>
        <v>9.5</v>
      </c>
      <c r="G1458" s="139">
        <f t="shared" si="570"/>
        <v>42.25</v>
      </c>
      <c r="H1458" s="139">
        <f t="shared" si="570"/>
        <v>13.25</v>
      </c>
      <c r="I1458" s="3">
        <f t="shared" si="568"/>
        <v>66.75</v>
      </c>
    </row>
    <row r="1459" spans="1:9" x14ac:dyDescent="0.25">
      <c r="A1459" s="56"/>
      <c r="B1459" s="157" t="s">
        <v>262</v>
      </c>
      <c r="C1459" s="139">
        <f t="shared" ref="C1459:H1459" si="571">C1392+C1387+C1386+C1379+C1368+C1354+C1325+C1310+C1339+C1453</f>
        <v>49</v>
      </c>
      <c r="D1459" s="139">
        <f t="shared" si="571"/>
        <v>7.5</v>
      </c>
      <c r="E1459" s="139">
        <f t="shared" si="571"/>
        <v>0</v>
      </c>
      <c r="F1459" s="139">
        <f t="shared" si="571"/>
        <v>7.5</v>
      </c>
      <c r="G1459" s="139">
        <f t="shared" si="571"/>
        <v>27.5</v>
      </c>
      <c r="H1459" s="139">
        <f t="shared" si="571"/>
        <v>14</v>
      </c>
      <c r="I1459" s="3">
        <f t="shared" si="568"/>
        <v>49</v>
      </c>
    </row>
    <row r="1460" spans="1:9" x14ac:dyDescent="0.25">
      <c r="A1460" s="56"/>
      <c r="B1460" s="157" t="s">
        <v>30</v>
      </c>
      <c r="C1460" s="139">
        <f>C1422+C1415+C1398</f>
        <v>49.25</v>
      </c>
      <c r="D1460" s="139">
        <f t="shared" ref="D1460:H1460" si="572">D1422+D1415+D1398</f>
        <v>20.25</v>
      </c>
      <c r="E1460" s="139">
        <f t="shared" si="572"/>
        <v>20.25</v>
      </c>
      <c r="F1460" s="139">
        <f t="shared" si="572"/>
        <v>0</v>
      </c>
      <c r="G1460" s="139">
        <f t="shared" si="572"/>
        <v>19.25</v>
      </c>
      <c r="H1460" s="139">
        <f t="shared" si="572"/>
        <v>9.75</v>
      </c>
      <c r="I1460" s="3">
        <f t="shared" si="568"/>
        <v>49.25</v>
      </c>
    </row>
    <row r="1461" spans="1:9" x14ac:dyDescent="0.25">
      <c r="A1461" s="56"/>
      <c r="B1461" s="157"/>
      <c r="C1461" s="139"/>
      <c r="D1461" s="139"/>
      <c r="E1461" s="139"/>
      <c r="F1461" s="154"/>
      <c r="G1461" s="139"/>
      <c r="H1461" s="139"/>
      <c r="I1461" s="3"/>
    </row>
    <row r="1462" spans="1:9" x14ac:dyDescent="0.25">
      <c r="A1462" s="79" t="s">
        <v>227</v>
      </c>
      <c r="B1462" s="79"/>
      <c r="C1462" s="79"/>
      <c r="D1462" s="196"/>
      <c r="E1462" s="196"/>
      <c r="F1462" s="296"/>
      <c r="G1462" s="60"/>
      <c r="H1462" s="68"/>
      <c r="I1462" s="3"/>
    </row>
    <row r="1463" spans="1:9" x14ac:dyDescent="0.25">
      <c r="A1463" s="297" t="s">
        <v>622</v>
      </c>
      <c r="B1463" s="82"/>
      <c r="C1463" s="73"/>
      <c r="D1463" s="73"/>
      <c r="E1463" s="73"/>
      <c r="F1463" s="74"/>
      <c r="G1463" s="60"/>
      <c r="H1463" s="68"/>
      <c r="I1463" s="3"/>
    </row>
    <row r="1464" spans="1:9" x14ac:dyDescent="0.25">
      <c r="A1464" s="297" t="s">
        <v>555</v>
      </c>
      <c r="B1464" s="60"/>
      <c r="C1464" s="68"/>
      <c r="D1464" s="68"/>
      <c r="E1464" s="68"/>
      <c r="F1464" s="71"/>
      <c r="G1464" s="60"/>
      <c r="H1464" s="68"/>
      <c r="I1464" s="3"/>
    </row>
    <row r="1465" spans="1:9" ht="39" x14ac:dyDescent="0.25">
      <c r="A1465" s="61">
        <v>1</v>
      </c>
      <c r="B1465" s="88" t="s">
        <v>228</v>
      </c>
      <c r="C1465" s="68">
        <v>1</v>
      </c>
      <c r="D1465" s="68">
        <f t="shared" ref="D1465:D1480" si="573">C1465-G1465-H1465</f>
        <v>0.75</v>
      </c>
      <c r="E1465" s="66">
        <f t="shared" ref="E1465:E1480" si="574">D1465-F1465</f>
        <v>0</v>
      </c>
      <c r="F1465" s="71">
        <v>0.75</v>
      </c>
      <c r="G1465" s="60">
        <v>0.25</v>
      </c>
      <c r="H1465" s="68"/>
      <c r="I1465" s="3"/>
    </row>
    <row r="1466" spans="1:9" x14ac:dyDescent="0.25">
      <c r="A1466" s="61">
        <v>2</v>
      </c>
      <c r="B1466" s="76" t="s">
        <v>230</v>
      </c>
      <c r="C1466" s="68">
        <v>1</v>
      </c>
      <c r="D1466" s="68">
        <f t="shared" si="573"/>
        <v>0.75</v>
      </c>
      <c r="E1466" s="66">
        <f t="shared" si="574"/>
        <v>0</v>
      </c>
      <c r="F1466" s="71">
        <v>0.75</v>
      </c>
      <c r="G1466" s="60">
        <v>0.25</v>
      </c>
      <c r="H1466" s="68"/>
      <c r="I1466" s="3"/>
    </row>
    <row r="1467" spans="1:9" ht="26.25" x14ac:dyDescent="0.25">
      <c r="A1467" s="61">
        <v>3</v>
      </c>
      <c r="B1467" s="88" t="s">
        <v>231</v>
      </c>
      <c r="C1467" s="68">
        <f>1+0.75+0.75</f>
        <v>2.5</v>
      </c>
      <c r="D1467" s="68">
        <f t="shared" si="573"/>
        <v>0</v>
      </c>
      <c r="E1467" s="66">
        <f t="shared" si="574"/>
        <v>0</v>
      </c>
      <c r="F1467" s="71"/>
      <c r="G1467" s="60">
        <f>1+0.75</f>
        <v>1.75</v>
      </c>
      <c r="H1467" s="68">
        <v>0.75</v>
      </c>
      <c r="I1467" s="3"/>
    </row>
    <row r="1468" spans="1:9" x14ac:dyDescent="0.25">
      <c r="A1468" s="61">
        <v>4</v>
      </c>
      <c r="B1468" s="76" t="s">
        <v>66</v>
      </c>
      <c r="C1468" s="68">
        <v>0.5</v>
      </c>
      <c r="D1468" s="68">
        <f t="shared" si="573"/>
        <v>0</v>
      </c>
      <c r="E1468" s="66">
        <f t="shared" si="574"/>
        <v>0</v>
      </c>
      <c r="F1468" s="71"/>
      <c r="G1468" s="102">
        <v>0.5</v>
      </c>
      <c r="H1468" s="68"/>
      <c r="I1468" s="3"/>
    </row>
    <row r="1469" spans="1:9" x14ac:dyDescent="0.25">
      <c r="A1469" s="61">
        <v>5</v>
      </c>
      <c r="B1469" s="76" t="s">
        <v>59</v>
      </c>
      <c r="C1469" s="68">
        <v>3</v>
      </c>
      <c r="D1469" s="68">
        <f t="shared" si="573"/>
        <v>1.75</v>
      </c>
      <c r="E1469" s="66">
        <f t="shared" si="574"/>
        <v>0</v>
      </c>
      <c r="F1469" s="71">
        <f>1+0.75</f>
        <v>1.75</v>
      </c>
      <c r="G1469" s="60">
        <f>1+0.25</f>
        <v>1.25</v>
      </c>
      <c r="H1469" s="68"/>
      <c r="I1469" s="3"/>
    </row>
    <row r="1470" spans="1:9" x14ac:dyDescent="0.25">
      <c r="A1470" s="61">
        <v>6</v>
      </c>
      <c r="B1470" s="76" t="s">
        <v>232</v>
      </c>
      <c r="C1470" s="68">
        <v>1</v>
      </c>
      <c r="D1470" s="68">
        <f t="shared" si="573"/>
        <v>0</v>
      </c>
      <c r="E1470" s="66">
        <f t="shared" si="574"/>
        <v>0</v>
      </c>
      <c r="F1470" s="71"/>
      <c r="G1470" s="60">
        <v>0.25</v>
      </c>
      <c r="H1470" s="68">
        <f>1-0.25</f>
        <v>0.75</v>
      </c>
      <c r="I1470" s="3"/>
    </row>
    <row r="1471" spans="1:9" x14ac:dyDescent="0.25">
      <c r="A1471" s="61">
        <v>7</v>
      </c>
      <c r="B1471" s="76" t="s">
        <v>53</v>
      </c>
      <c r="C1471" s="68">
        <v>1</v>
      </c>
      <c r="D1471" s="68">
        <f t="shared" si="573"/>
        <v>1</v>
      </c>
      <c r="E1471" s="66">
        <f t="shared" si="574"/>
        <v>0</v>
      </c>
      <c r="F1471" s="71">
        <v>1</v>
      </c>
      <c r="G1471" s="60"/>
      <c r="H1471" s="68"/>
      <c r="I1471" s="3"/>
    </row>
    <row r="1472" spans="1:9" x14ac:dyDescent="0.25">
      <c r="A1472" s="61">
        <v>8</v>
      </c>
      <c r="B1472" s="76" t="s">
        <v>233</v>
      </c>
      <c r="C1472" s="68">
        <f>1.5-0.5+1+1+1-1+1</f>
        <v>4</v>
      </c>
      <c r="D1472" s="68">
        <f t="shared" si="573"/>
        <v>1</v>
      </c>
      <c r="E1472" s="66">
        <f t="shared" si="574"/>
        <v>0</v>
      </c>
      <c r="F1472" s="71">
        <f>0.75+0.25</f>
        <v>1</v>
      </c>
      <c r="G1472" s="102">
        <f>1+0.25+0.75+1-1+1</f>
        <v>3</v>
      </c>
      <c r="H1472" s="68"/>
      <c r="I1472" s="3"/>
    </row>
    <row r="1473" spans="1:9" x14ac:dyDescent="0.25">
      <c r="A1473" s="61">
        <v>9</v>
      </c>
      <c r="B1473" s="88" t="s">
        <v>64</v>
      </c>
      <c r="C1473" s="68">
        <f>1+2</f>
        <v>3</v>
      </c>
      <c r="D1473" s="68">
        <f t="shared" si="573"/>
        <v>1</v>
      </c>
      <c r="E1473" s="66">
        <f t="shared" si="574"/>
        <v>0</v>
      </c>
      <c r="F1473" s="71">
        <v>1</v>
      </c>
      <c r="G1473" s="102">
        <v>1</v>
      </c>
      <c r="H1473" s="68">
        <v>1</v>
      </c>
      <c r="I1473" s="3"/>
    </row>
    <row r="1474" spans="1:9" x14ac:dyDescent="0.25">
      <c r="A1474" s="61">
        <v>10</v>
      </c>
      <c r="B1474" s="88" t="s">
        <v>210</v>
      </c>
      <c r="C1474" s="68">
        <f>4.75+1+1-1-1+5.75+1-1</f>
        <v>10.5</v>
      </c>
      <c r="D1474" s="68">
        <f t="shared" si="573"/>
        <v>3</v>
      </c>
      <c r="E1474" s="66">
        <f t="shared" si="574"/>
        <v>0</v>
      </c>
      <c r="F1474" s="71">
        <f>0.75+0.75+0.25+0.5+0.75</f>
        <v>3</v>
      </c>
      <c r="G1474" s="102">
        <f>0.75+0.25+1+1-1-1+1+4.5+1-1</f>
        <v>6.5</v>
      </c>
      <c r="H1474" s="68">
        <v>1</v>
      </c>
      <c r="I1474" s="3"/>
    </row>
    <row r="1475" spans="1:9" x14ac:dyDescent="0.25">
      <c r="A1475" s="61">
        <v>11</v>
      </c>
      <c r="B1475" s="76" t="s">
        <v>213</v>
      </c>
      <c r="C1475" s="68">
        <f>1+1</f>
        <v>2</v>
      </c>
      <c r="D1475" s="68">
        <f t="shared" si="573"/>
        <v>1</v>
      </c>
      <c r="E1475" s="66">
        <f t="shared" si="574"/>
        <v>0</v>
      </c>
      <c r="F1475" s="71">
        <f>0.25+0.75</f>
        <v>1</v>
      </c>
      <c r="G1475" s="102">
        <f>0.25+0.75</f>
        <v>1</v>
      </c>
      <c r="H1475" s="68"/>
      <c r="I1475" s="3"/>
    </row>
    <row r="1476" spans="1:9" x14ac:dyDescent="0.25">
      <c r="A1476" s="61">
        <v>12</v>
      </c>
      <c r="B1476" s="76" t="s">
        <v>595</v>
      </c>
      <c r="C1476" s="68">
        <f>2+2+2</f>
        <v>6</v>
      </c>
      <c r="D1476" s="68">
        <f t="shared" si="573"/>
        <v>1</v>
      </c>
      <c r="E1476" s="66">
        <f t="shared" si="574"/>
        <v>0</v>
      </c>
      <c r="F1476" s="71">
        <f>0.5+0.5</f>
        <v>1</v>
      </c>
      <c r="G1476" s="102">
        <f>1+1+2</f>
        <v>4</v>
      </c>
      <c r="H1476" s="68">
        <v>1</v>
      </c>
      <c r="I1476" s="3"/>
    </row>
    <row r="1477" spans="1:9" x14ac:dyDescent="0.25">
      <c r="A1477" s="61">
        <v>13</v>
      </c>
      <c r="B1477" s="76" t="s">
        <v>234</v>
      </c>
      <c r="C1477" s="68">
        <f>2-0.5+1+2+1.5</f>
        <v>6</v>
      </c>
      <c r="D1477" s="68">
        <f t="shared" si="573"/>
        <v>2</v>
      </c>
      <c r="E1477" s="66">
        <f t="shared" si="574"/>
        <v>0</v>
      </c>
      <c r="F1477" s="71">
        <f>0.75+0.5+0.25+0.5</f>
        <v>2</v>
      </c>
      <c r="G1477" s="102">
        <f>1-0.5+1+0.25+1+0.25</f>
        <v>3</v>
      </c>
      <c r="H1477" s="68">
        <v>1</v>
      </c>
      <c r="I1477" s="3"/>
    </row>
    <row r="1478" spans="1:9" x14ac:dyDescent="0.25">
      <c r="A1478" s="61">
        <v>14</v>
      </c>
      <c r="B1478" s="76" t="s">
        <v>94</v>
      </c>
      <c r="C1478" s="68">
        <f>1+1</f>
        <v>2</v>
      </c>
      <c r="D1478" s="68">
        <f t="shared" si="573"/>
        <v>1</v>
      </c>
      <c r="E1478" s="66">
        <f t="shared" si="574"/>
        <v>0</v>
      </c>
      <c r="F1478" s="71">
        <f>0.25+0.75</f>
        <v>1</v>
      </c>
      <c r="G1478" s="102">
        <f>0.25+0.75</f>
        <v>1</v>
      </c>
      <c r="H1478" s="68"/>
      <c r="I1478" s="3"/>
    </row>
    <row r="1479" spans="1:9" x14ac:dyDescent="0.25">
      <c r="A1479" s="61">
        <v>15</v>
      </c>
      <c r="B1479" s="76" t="s">
        <v>44</v>
      </c>
      <c r="C1479" s="68">
        <f>1+1</f>
        <v>2</v>
      </c>
      <c r="D1479" s="68">
        <f t="shared" si="573"/>
        <v>1</v>
      </c>
      <c r="E1479" s="66">
        <f t="shared" si="574"/>
        <v>0</v>
      </c>
      <c r="F1479" s="71">
        <v>1</v>
      </c>
      <c r="G1479" s="102">
        <f>0.25+0.75</f>
        <v>1</v>
      </c>
      <c r="H1479" s="68"/>
      <c r="I1479" s="3"/>
    </row>
    <row r="1480" spans="1:9" x14ac:dyDescent="0.25">
      <c r="A1480" s="61">
        <v>16</v>
      </c>
      <c r="B1480" s="76" t="s">
        <v>45</v>
      </c>
      <c r="C1480" s="68">
        <f>6.5+0.5+1+1+4.5</f>
        <v>13.5</v>
      </c>
      <c r="D1480" s="68">
        <f t="shared" si="573"/>
        <v>3</v>
      </c>
      <c r="E1480" s="66">
        <f t="shared" si="574"/>
        <v>0</v>
      </c>
      <c r="F1480" s="71">
        <f>0.12+0.25+0.25+0.5+0.75+0.13+0.75+0.13+0.12</f>
        <v>3</v>
      </c>
      <c r="G1480" s="102">
        <f>3+0.25+0.5+0.5+1+4.25</f>
        <v>9.5</v>
      </c>
      <c r="H1480" s="68">
        <f>0.5+0.25+0.25</f>
        <v>1</v>
      </c>
      <c r="I1480" s="3"/>
    </row>
    <row r="1481" spans="1:9" x14ac:dyDescent="0.25">
      <c r="A1481" s="61"/>
      <c r="B1481" s="72" t="s">
        <v>57</v>
      </c>
      <c r="C1481" s="73">
        <f t="shared" ref="C1481:H1481" si="575">SUM(C1465:C1480)</f>
        <v>59</v>
      </c>
      <c r="D1481" s="73">
        <f t="shared" si="575"/>
        <v>18.25</v>
      </c>
      <c r="E1481" s="73">
        <f t="shared" si="575"/>
        <v>0</v>
      </c>
      <c r="F1481" s="74">
        <f t="shared" si="575"/>
        <v>18.25</v>
      </c>
      <c r="G1481" s="73">
        <f t="shared" si="575"/>
        <v>34.25</v>
      </c>
      <c r="H1481" s="73">
        <f t="shared" si="575"/>
        <v>6.5</v>
      </c>
      <c r="I1481" s="3"/>
    </row>
    <row r="1482" spans="1:9" x14ac:dyDescent="0.25">
      <c r="A1482" s="123"/>
      <c r="B1482" s="72"/>
      <c r="C1482" s="83">
        <f t="shared" ref="C1482:H1482" si="576">SUM(C1483:C1485)</f>
        <v>59</v>
      </c>
      <c r="D1482" s="83">
        <f t="shared" si="576"/>
        <v>18.25</v>
      </c>
      <c r="E1482" s="83">
        <f t="shared" si="576"/>
        <v>0</v>
      </c>
      <c r="F1482" s="84">
        <f t="shared" si="576"/>
        <v>18.25</v>
      </c>
      <c r="G1482" s="83">
        <f t="shared" si="576"/>
        <v>34.25</v>
      </c>
      <c r="H1482" s="83">
        <f t="shared" si="576"/>
        <v>6.5</v>
      </c>
      <c r="I1482" s="3"/>
    </row>
    <row r="1483" spans="1:9" x14ac:dyDescent="0.25">
      <c r="A1483" s="123"/>
      <c r="B1483" s="72" t="s">
        <v>211</v>
      </c>
      <c r="C1483" s="73">
        <f t="shared" ref="C1483:H1483" si="577">SUM(C1465:C1470)</f>
        <v>9</v>
      </c>
      <c r="D1483" s="73">
        <f t="shared" si="577"/>
        <v>3.25</v>
      </c>
      <c r="E1483" s="73">
        <f t="shared" si="577"/>
        <v>0</v>
      </c>
      <c r="F1483" s="74">
        <f t="shared" si="577"/>
        <v>3.25</v>
      </c>
      <c r="G1483" s="73">
        <f t="shared" si="577"/>
        <v>4.25</v>
      </c>
      <c r="H1483" s="73">
        <f t="shared" si="577"/>
        <v>1.5</v>
      </c>
      <c r="I1483" s="3"/>
    </row>
    <row r="1484" spans="1:9" x14ac:dyDescent="0.25">
      <c r="A1484" s="123"/>
      <c r="B1484" s="82" t="s">
        <v>583</v>
      </c>
      <c r="C1484" s="73">
        <f t="shared" ref="C1484:H1484" si="578">SUM(C1471:C1478)</f>
        <v>34.5</v>
      </c>
      <c r="D1484" s="73">
        <f t="shared" si="578"/>
        <v>11</v>
      </c>
      <c r="E1484" s="73">
        <f t="shared" si="578"/>
        <v>0</v>
      </c>
      <c r="F1484" s="74">
        <f t="shared" si="578"/>
        <v>11</v>
      </c>
      <c r="G1484" s="73">
        <f t="shared" si="578"/>
        <v>19.5</v>
      </c>
      <c r="H1484" s="73">
        <f t="shared" si="578"/>
        <v>4</v>
      </c>
      <c r="I1484" s="3"/>
    </row>
    <row r="1485" spans="1:9" x14ac:dyDescent="0.25">
      <c r="A1485" s="123"/>
      <c r="B1485" s="82" t="s">
        <v>179</v>
      </c>
      <c r="C1485" s="73">
        <f t="shared" ref="C1485:H1485" si="579">SUM(C1479:C1480)</f>
        <v>15.5</v>
      </c>
      <c r="D1485" s="73">
        <f t="shared" si="579"/>
        <v>4</v>
      </c>
      <c r="E1485" s="73">
        <f t="shared" si="579"/>
        <v>0</v>
      </c>
      <c r="F1485" s="74">
        <f t="shared" si="579"/>
        <v>4</v>
      </c>
      <c r="G1485" s="73">
        <f t="shared" si="579"/>
        <v>10.5</v>
      </c>
      <c r="H1485" s="73">
        <f t="shared" si="579"/>
        <v>1</v>
      </c>
      <c r="I1485" s="3"/>
    </row>
    <row r="1486" spans="1:9" x14ac:dyDescent="0.25">
      <c r="A1486" s="123"/>
      <c r="B1486" s="79" t="s">
        <v>327</v>
      </c>
      <c r="C1486" s="73"/>
      <c r="D1486" s="73"/>
      <c r="E1486" s="73"/>
      <c r="F1486" s="74"/>
      <c r="G1486" s="60"/>
      <c r="H1486" s="61"/>
    </row>
    <row r="1487" spans="1:9" ht="26.25" x14ac:dyDescent="0.25">
      <c r="A1487" s="61" t="s">
        <v>61</v>
      </c>
      <c r="B1487" s="88" t="s">
        <v>328</v>
      </c>
      <c r="C1487" s="66">
        <v>1</v>
      </c>
      <c r="D1487" s="66">
        <f t="shared" ref="D1487:D1493" si="580">C1487-G1487-H1487</f>
        <v>0.5</v>
      </c>
      <c r="E1487" s="66">
        <f t="shared" ref="E1487:E1493" si="581">D1487-F1487</f>
        <v>0</v>
      </c>
      <c r="F1487" s="67">
        <v>0.5</v>
      </c>
      <c r="G1487" s="68">
        <f>0.25+0.25</f>
        <v>0.5</v>
      </c>
      <c r="H1487" s="68"/>
    </row>
    <row r="1488" spans="1:9" x14ac:dyDescent="0.25">
      <c r="A1488" s="61" t="s">
        <v>63</v>
      </c>
      <c r="B1488" s="76" t="s">
        <v>294</v>
      </c>
      <c r="C1488" s="66">
        <f>23.25+2+1+1+2+4</f>
        <v>33.25</v>
      </c>
      <c r="D1488" s="66">
        <f t="shared" si="580"/>
        <v>18.5</v>
      </c>
      <c r="E1488" s="66">
        <f t="shared" si="581"/>
        <v>0</v>
      </c>
      <c r="F1488" s="67">
        <f>0.5+0.5+0.25+0.5+0.5+0.5+0.5+0.25+0.5+0.5+0.5+0.25+0.5+0.25+0.5+0.25+0.5+0.25+0.5+0.25+0.5+0.25+0.5+0.5+0.5+0.25+0.5+0.25+0.25+0.25+0.5+0.5+0.25+0.5+0.25+0.5+0.25+0.5+0.5+0.5+0.5+0.25+0.5+0.25+0.25+0.5</f>
        <v>18.5</v>
      </c>
      <c r="G1488" s="68">
        <f>0.75+0.5+0.25+0.5+2+3.75+2+5</f>
        <v>14.75</v>
      </c>
      <c r="H1488" s="68"/>
    </row>
    <row r="1489" spans="1:8" x14ac:dyDescent="0.25">
      <c r="A1489" s="61">
        <v>3</v>
      </c>
      <c r="B1489" s="76" t="s">
        <v>53</v>
      </c>
      <c r="C1489" s="66">
        <v>1</v>
      </c>
      <c r="D1489" s="66">
        <f t="shared" si="580"/>
        <v>0.5</v>
      </c>
      <c r="E1489" s="66">
        <f t="shared" si="581"/>
        <v>0</v>
      </c>
      <c r="F1489" s="67">
        <v>0.5</v>
      </c>
      <c r="G1489" s="61">
        <f>0.25+0.25</f>
        <v>0.5</v>
      </c>
      <c r="H1489" s="68"/>
    </row>
    <row r="1490" spans="1:8" x14ac:dyDescent="0.25">
      <c r="A1490" s="61">
        <v>4</v>
      </c>
      <c r="B1490" s="88" t="s">
        <v>295</v>
      </c>
      <c r="C1490" s="66">
        <f>26+1-10-7-1</f>
        <v>9</v>
      </c>
      <c r="D1490" s="66">
        <f t="shared" si="580"/>
        <v>3.25</v>
      </c>
      <c r="E1490" s="66">
        <f t="shared" si="581"/>
        <v>0</v>
      </c>
      <c r="F1490" s="67">
        <f>0.5+0.5+0.5+0.5+0.5+0.25+0.5</f>
        <v>3.25</v>
      </c>
      <c r="G1490" s="68">
        <f>0.25+0.25+0.75+0.75+0.25+1.75-1.75-0.25+3.75</f>
        <v>5.75</v>
      </c>
      <c r="H1490" s="68"/>
    </row>
    <row r="1491" spans="1:8" x14ac:dyDescent="0.25">
      <c r="A1491" s="61">
        <v>5</v>
      </c>
      <c r="B1491" s="76" t="s">
        <v>234</v>
      </c>
      <c r="C1491" s="66">
        <f>24+10+7+1</f>
        <v>42</v>
      </c>
      <c r="D1491" s="66">
        <f t="shared" si="580"/>
        <v>19.5</v>
      </c>
      <c r="E1491" s="66">
        <f t="shared" si="581"/>
        <v>0</v>
      </c>
      <c r="F1491" s="67">
        <f>0.5+0.5+0.5+0.5+0.5+0.5+0.5+0.5+0.5+0.5+0.5+0.5+0.5+0.5+0.5+0.5+0.5+0.5+0.5+0.5+0.5+0.5+0.5+0.25+0.5+0.5+0.5+0.5+0.5+0.5+0.5+0.5+0.5+0.5+0.5+0.75+0.5+0.5+0.5+0.5-0.5</f>
        <v>19.5</v>
      </c>
      <c r="G1491" s="68">
        <f>0.75+6.25+1.75+0.25+0.25+13.25</f>
        <v>22.5</v>
      </c>
      <c r="H1491" s="68"/>
    </row>
    <row r="1492" spans="1:8" x14ac:dyDescent="0.25">
      <c r="A1492" s="61">
        <v>6</v>
      </c>
      <c r="B1492" s="76" t="s">
        <v>44</v>
      </c>
      <c r="C1492" s="66">
        <v>2.5</v>
      </c>
      <c r="D1492" s="66">
        <f t="shared" si="580"/>
        <v>0.5</v>
      </c>
      <c r="E1492" s="66">
        <f t="shared" si="581"/>
        <v>0</v>
      </c>
      <c r="F1492" s="67">
        <f>0.25+0.25</f>
        <v>0.5</v>
      </c>
      <c r="G1492" s="68">
        <f>0.5+1.5</f>
        <v>2</v>
      </c>
      <c r="H1492" s="68"/>
    </row>
    <row r="1493" spans="1:8" x14ac:dyDescent="0.25">
      <c r="A1493" s="56">
        <v>7</v>
      </c>
      <c r="B1493" s="76" t="s">
        <v>45</v>
      </c>
      <c r="C1493" s="66">
        <f>-1+12.5</f>
        <v>11.5</v>
      </c>
      <c r="D1493" s="66">
        <f t="shared" si="580"/>
        <v>2</v>
      </c>
      <c r="E1493" s="66">
        <f t="shared" si="581"/>
        <v>0</v>
      </c>
      <c r="F1493" s="67">
        <f>0.25+0.25+0.25+0.25+0.25+0.25+0.25+0.25</f>
        <v>2</v>
      </c>
      <c r="G1493" s="68">
        <f>0.25+0.5+1.25+7.5</f>
        <v>9.5</v>
      </c>
      <c r="H1493" s="68"/>
    </row>
    <row r="1494" spans="1:8" ht="26.25" x14ac:dyDescent="0.25">
      <c r="A1494" s="123"/>
      <c r="B1494" s="93" t="s">
        <v>329</v>
      </c>
      <c r="C1494" s="94">
        <f t="shared" ref="C1494:H1494" si="582">SUM(C1487:C1493)</f>
        <v>100.25</v>
      </c>
      <c r="D1494" s="94">
        <f t="shared" si="582"/>
        <v>44.75</v>
      </c>
      <c r="E1494" s="94">
        <f t="shared" si="582"/>
        <v>0</v>
      </c>
      <c r="F1494" s="95">
        <f t="shared" si="582"/>
        <v>44.75</v>
      </c>
      <c r="G1494" s="94">
        <f t="shared" si="582"/>
        <v>55.5</v>
      </c>
      <c r="H1494" s="94">
        <f t="shared" si="582"/>
        <v>0</v>
      </c>
    </row>
    <row r="1495" spans="1:8" x14ac:dyDescent="0.25">
      <c r="A1495" s="123"/>
      <c r="B1495" s="280" t="s">
        <v>54</v>
      </c>
      <c r="C1495" s="97">
        <f t="shared" ref="C1495:H1495" si="583">SUM(C1496:C1498)</f>
        <v>100.25</v>
      </c>
      <c r="D1495" s="97">
        <f t="shared" si="583"/>
        <v>44.75</v>
      </c>
      <c r="E1495" s="97">
        <f t="shared" si="583"/>
        <v>0</v>
      </c>
      <c r="F1495" s="98">
        <f t="shared" si="583"/>
        <v>44.75</v>
      </c>
      <c r="G1495" s="97">
        <f t="shared" si="583"/>
        <v>55.5</v>
      </c>
      <c r="H1495" s="97">
        <f t="shared" si="583"/>
        <v>0</v>
      </c>
    </row>
    <row r="1496" spans="1:8" x14ac:dyDescent="0.25">
      <c r="A1496" s="123"/>
      <c r="B1496" s="99" t="s">
        <v>211</v>
      </c>
      <c r="C1496" s="94">
        <f t="shared" ref="C1496:H1496" si="584">SUM(C1487:C1488)</f>
        <v>34.25</v>
      </c>
      <c r="D1496" s="94">
        <f t="shared" si="584"/>
        <v>19</v>
      </c>
      <c r="E1496" s="94">
        <f t="shared" si="584"/>
        <v>0</v>
      </c>
      <c r="F1496" s="95">
        <f t="shared" si="584"/>
        <v>19</v>
      </c>
      <c r="G1496" s="94">
        <f t="shared" si="584"/>
        <v>15.25</v>
      </c>
      <c r="H1496" s="94">
        <f t="shared" si="584"/>
        <v>0</v>
      </c>
    </row>
    <row r="1497" spans="1:8" x14ac:dyDescent="0.25">
      <c r="A1497" s="123"/>
      <c r="B1497" s="99" t="s">
        <v>583</v>
      </c>
      <c r="C1497" s="94">
        <f t="shared" ref="C1497:H1497" si="585">SUM(C1489:C1491)</f>
        <v>52</v>
      </c>
      <c r="D1497" s="94">
        <f t="shared" si="585"/>
        <v>23.25</v>
      </c>
      <c r="E1497" s="94">
        <f t="shared" si="585"/>
        <v>0</v>
      </c>
      <c r="F1497" s="95">
        <f t="shared" si="585"/>
        <v>23.25</v>
      </c>
      <c r="G1497" s="94">
        <f t="shared" si="585"/>
        <v>28.75</v>
      </c>
      <c r="H1497" s="94">
        <f t="shared" si="585"/>
        <v>0</v>
      </c>
    </row>
    <row r="1498" spans="1:8" x14ac:dyDescent="0.25">
      <c r="A1498" s="123"/>
      <c r="B1498" s="99" t="s">
        <v>179</v>
      </c>
      <c r="C1498" s="94">
        <f t="shared" ref="C1498:H1498" si="586">SUM(C1492:C1493)</f>
        <v>14</v>
      </c>
      <c r="D1498" s="94">
        <f t="shared" si="586"/>
        <v>2.5</v>
      </c>
      <c r="E1498" s="94">
        <f t="shared" si="586"/>
        <v>0</v>
      </c>
      <c r="F1498" s="95">
        <f t="shared" si="586"/>
        <v>2.5</v>
      </c>
      <c r="G1498" s="94">
        <f t="shared" si="586"/>
        <v>11.5</v>
      </c>
      <c r="H1498" s="94">
        <f t="shared" si="586"/>
        <v>0</v>
      </c>
    </row>
    <row r="1499" spans="1:8" x14ac:dyDescent="0.25">
      <c r="A1499" s="123"/>
      <c r="B1499" s="33" t="s">
        <v>330</v>
      </c>
      <c r="C1499" s="73"/>
      <c r="D1499" s="73"/>
      <c r="E1499" s="73"/>
      <c r="F1499" s="74"/>
      <c r="G1499" s="60"/>
      <c r="H1499" s="61"/>
    </row>
    <row r="1500" spans="1:8" ht="26.25" x14ac:dyDescent="0.25">
      <c r="A1500" s="56">
        <v>1</v>
      </c>
      <c r="B1500" s="103" t="s">
        <v>331</v>
      </c>
      <c r="C1500" s="66">
        <v>1</v>
      </c>
      <c r="D1500" s="66">
        <f>C1500-G1500-H1500</f>
        <v>0.25</v>
      </c>
      <c r="E1500" s="66">
        <f t="shared" ref="E1500:E1511" si="587">D1500-F1500</f>
        <v>0</v>
      </c>
      <c r="F1500" s="67">
        <v>0.25</v>
      </c>
      <c r="G1500" s="61">
        <f>0.25+0.5</f>
        <v>0.75</v>
      </c>
      <c r="H1500" s="68"/>
    </row>
    <row r="1501" spans="1:8" x14ac:dyDescent="0.25">
      <c r="A1501" s="61">
        <v>2</v>
      </c>
      <c r="B1501" s="103" t="s">
        <v>189</v>
      </c>
      <c r="C1501" s="66">
        <v>1</v>
      </c>
      <c r="D1501" s="66">
        <f>C1501-G1501-H1501</f>
        <v>1</v>
      </c>
      <c r="E1501" s="66">
        <f t="shared" si="587"/>
        <v>1</v>
      </c>
      <c r="F1501" s="67"/>
      <c r="G1501" s="68"/>
      <c r="H1501" s="68"/>
    </row>
    <row r="1502" spans="1:8" x14ac:dyDescent="0.25">
      <c r="A1502" s="79"/>
      <c r="B1502" s="166" t="s">
        <v>270</v>
      </c>
      <c r="C1502" s="73"/>
      <c r="D1502" s="73"/>
      <c r="E1502" s="66">
        <f t="shared" si="587"/>
        <v>0</v>
      </c>
      <c r="F1502" s="74"/>
      <c r="G1502" s="61"/>
      <c r="H1502" s="61"/>
    </row>
    <row r="1503" spans="1:8" x14ac:dyDescent="0.25">
      <c r="A1503" s="61">
        <v>3</v>
      </c>
      <c r="B1503" s="60" t="s">
        <v>332</v>
      </c>
      <c r="C1503" s="66">
        <v>4</v>
      </c>
      <c r="D1503" s="66">
        <f t="shared" ref="D1503:D1511" si="588">C1503-G1503-H1503</f>
        <v>0.75</v>
      </c>
      <c r="E1503" s="66">
        <f t="shared" si="587"/>
        <v>0</v>
      </c>
      <c r="F1503" s="67">
        <f>0.25+0.25+0.25</f>
        <v>0.75</v>
      </c>
      <c r="G1503" s="68">
        <f>1+0.75+1.5</f>
        <v>3.25</v>
      </c>
      <c r="H1503" s="68"/>
    </row>
    <row r="1504" spans="1:8" x14ac:dyDescent="0.25">
      <c r="A1504" s="61">
        <v>4</v>
      </c>
      <c r="B1504" s="76" t="s">
        <v>272</v>
      </c>
      <c r="C1504" s="66">
        <v>4.25</v>
      </c>
      <c r="D1504" s="66">
        <f t="shared" si="588"/>
        <v>0.25</v>
      </c>
      <c r="E1504" s="66">
        <f t="shared" si="587"/>
        <v>0</v>
      </c>
      <c r="F1504" s="67">
        <f>0.25</f>
        <v>0.25</v>
      </c>
      <c r="G1504" s="68">
        <f>0.5+0.25+2.75+0.5</f>
        <v>4</v>
      </c>
      <c r="H1504" s="68"/>
    </row>
    <row r="1505" spans="1:8" x14ac:dyDescent="0.25">
      <c r="A1505" s="61">
        <v>5</v>
      </c>
      <c r="B1505" s="76" t="s">
        <v>333</v>
      </c>
      <c r="C1505" s="66">
        <v>2.5</v>
      </c>
      <c r="D1505" s="66">
        <f t="shared" si="588"/>
        <v>0</v>
      </c>
      <c r="E1505" s="66">
        <f t="shared" si="587"/>
        <v>0</v>
      </c>
      <c r="F1505" s="67"/>
      <c r="G1505" s="68">
        <f>0.25+2+0.25</f>
        <v>2.5</v>
      </c>
      <c r="H1505" s="68"/>
    </row>
    <row r="1506" spans="1:8" x14ac:dyDescent="0.25">
      <c r="A1506" s="61">
        <v>6</v>
      </c>
      <c r="B1506" s="76" t="s">
        <v>274</v>
      </c>
      <c r="C1506" s="66">
        <v>4</v>
      </c>
      <c r="D1506" s="66">
        <f t="shared" si="588"/>
        <v>0.75</v>
      </c>
      <c r="E1506" s="66">
        <f t="shared" si="587"/>
        <v>0</v>
      </c>
      <c r="F1506" s="67">
        <f>0.25+0.25+0.25</f>
        <v>0.75</v>
      </c>
      <c r="G1506" s="68">
        <f>1+0.75+1.5</f>
        <v>3.25</v>
      </c>
      <c r="H1506" s="68"/>
    </row>
    <row r="1507" spans="1:8" x14ac:dyDescent="0.25">
      <c r="A1507" s="61">
        <v>7</v>
      </c>
      <c r="B1507" s="76" t="s">
        <v>275</v>
      </c>
      <c r="C1507" s="66">
        <f>16+0.5</f>
        <v>16.5</v>
      </c>
      <c r="D1507" s="66">
        <f t="shared" si="588"/>
        <v>2.75</v>
      </c>
      <c r="E1507" s="66">
        <f t="shared" si="587"/>
        <v>0</v>
      </c>
      <c r="F1507" s="67">
        <f>0.25+0.25+0.25+0.25+0.25+0.25+0.25+0.25+0.25+0.25+0.25</f>
        <v>2.75</v>
      </c>
      <c r="G1507" s="61">
        <f>3.5+0.25+4+0.5+5.5</f>
        <v>13.75</v>
      </c>
      <c r="H1507" s="68"/>
    </row>
    <row r="1508" spans="1:8" x14ac:dyDescent="0.25">
      <c r="A1508" s="61">
        <v>8</v>
      </c>
      <c r="B1508" s="76" t="s">
        <v>334</v>
      </c>
      <c r="C1508" s="66">
        <v>11.5</v>
      </c>
      <c r="D1508" s="66">
        <f t="shared" si="588"/>
        <v>0</v>
      </c>
      <c r="E1508" s="66">
        <f t="shared" si="587"/>
        <v>0</v>
      </c>
      <c r="F1508" s="67"/>
      <c r="G1508" s="68">
        <f>0.25+0.5+0.25+1.75+8.75</f>
        <v>11.5</v>
      </c>
      <c r="H1508" s="68"/>
    </row>
    <row r="1509" spans="1:8" x14ac:dyDescent="0.25">
      <c r="A1509" s="61">
        <v>9</v>
      </c>
      <c r="B1509" s="76" t="s">
        <v>283</v>
      </c>
      <c r="C1509" s="66">
        <f>6+2</f>
        <v>8</v>
      </c>
      <c r="D1509" s="66">
        <f t="shared" si="588"/>
        <v>1</v>
      </c>
      <c r="E1509" s="66">
        <f t="shared" si="587"/>
        <v>0</v>
      </c>
      <c r="F1509" s="67">
        <f>0.25+0.25+0.25+0.25</f>
        <v>1</v>
      </c>
      <c r="G1509" s="68">
        <f>2+1.25+1.75+2</f>
        <v>7</v>
      </c>
      <c r="H1509" s="68"/>
    </row>
    <row r="1510" spans="1:8" x14ac:dyDescent="0.25">
      <c r="A1510" s="61">
        <v>10</v>
      </c>
      <c r="B1510" s="76" t="s">
        <v>44</v>
      </c>
      <c r="C1510" s="66">
        <v>2.5</v>
      </c>
      <c r="D1510" s="66">
        <f t="shared" si="588"/>
        <v>0</v>
      </c>
      <c r="E1510" s="66">
        <f t="shared" si="587"/>
        <v>0</v>
      </c>
      <c r="F1510" s="67"/>
      <c r="G1510" s="68">
        <f>0.25+2.25</f>
        <v>2.5</v>
      </c>
      <c r="H1510" s="68"/>
    </row>
    <row r="1511" spans="1:8" x14ac:dyDescent="0.25">
      <c r="A1511" s="61">
        <v>11</v>
      </c>
      <c r="B1511" s="76" t="s">
        <v>45</v>
      </c>
      <c r="C1511" s="66">
        <v>5.5</v>
      </c>
      <c r="D1511" s="66">
        <f t="shared" si="588"/>
        <v>0.75</v>
      </c>
      <c r="E1511" s="66">
        <f t="shared" si="587"/>
        <v>0</v>
      </c>
      <c r="F1511" s="67">
        <f>0.25+0.25+0.25</f>
        <v>0.75</v>
      </c>
      <c r="G1511" s="68">
        <f>0.75+0.25+2.5+1.25</f>
        <v>4.75</v>
      </c>
      <c r="H1511" s="68"/>
    </row>
    <row r="1512" spans="1:8" x14ac:dyDescent="0.25">
      <c r="A1512" s="61"/>
      <c r="B1512" s="106" t="s">
        <v>54</v>
      </c>
      <c r="C1512" s="73">
        <f t="shared" ref="C1512:H1512" si="589">SUM(C1503:C1511)</f>
        <v>58.75</v>
      </c>
      <c r="D1512" s="73">
        <f t="shared" si="589"/>
        <v>6.25</v>
      </c>
      <c r="E1512" s="73">
        <f t="shared" si="589"/>
        <v>0</v>
      </c>
      <c r="F1512" s="74">
        <f t="shared" si="589"/>
        <v>6.25</v>
      </c>
      <c r="G1512" s="73">
        <f t="shared" si="589"/>
        <v>52.5</v>
      </c>
      <c r="H1512" s="73">
        <f t="shared" si="589"/>
        <v>0</v>
      </c>
    </row>
    <row r="1513" spans="1:8" x14ac:dyDescent="0.25">
      <c r="A1513" s="61"/>
      <c r="B1513" s="138" t="s">
        <v>335</v>
      </c>
      <c r="C1513" s="139">
        <f t="shared" ref="C1513:H1513" si="590">C1512+C1500+C1501</f>
        <v>60.75</v>
      </c>
      <c r="D1513" s="139">
        <f t="shared" si="590"/>
        <v>7.5</v>
      </c>
      <c r="E1513" s="139">
        <f t="shared" si="590"/>
        <v>1</v>
      </c>
      <c r="F1513" s="154">
        <f t="shared" si="590"/>
        <v>6.5</v>
      </c>
      <c r="G1513" s="139">
        <f t="shared" si="590"/>
        <v>53.25</v>
      </c>
      <c r="H1513" s="139">
        <f t="shared" si="590"/>
        <v>0</v>
      </c>
    </row>
    <row r="1514" spans="1:8" x14ac:dyDescent="0.25">
      <c r="A1514" s="61"/>
      <c r="B1514" s="138"/>
      <c r="C1514" s="97">
        <f t="shared" ref="C1514:H1514" si="591">SUM(C1515:C1518)</f>
        <v>60.75</v>
      </c>
      <c r="D1514" s="97">
        <f t="shared" si="591"/>
        <v>7.5</v>
      </c>
      <c r="E1514" s="97">
        <f t="shared" si="591"/>
        <v>1</v>
      </c>
      <c r="F1514" s="98">
        <f t="shared" si="591"/>
        <v>6.5</v>
      </c>
      <c r="G1514" s="97">
        <f t="shared" si="591"/>
        <v>53.25</v>
      </c>
      <c r="H1514" s="97">
        <f t="shared" si="591"/>
        <v>0</v>
      </c>
    </row>
    <row r="1515" spans="1:8" x14ac:dyDescent="0.25">
      <c r="A1515" s="61"/>
      <c r="B1515" s="157" t="s">
        <v>277</v>
      </c>
      <c r="C1515" s="139">
        <f t="shared" ref="C1515:H1515" si="592">SUM(C1503:C1505)+C1500</f>
        <v>11.75</v>
      </c>
      <c r="D1515" s="139">
        <f t="shared" si="592"/>
        <v>1.25</v>
      </c>
      <c r="E1515" s="139">
        <f t="shared" si="592"/>
        <v>0</v>
      </c>
      <c r="F1515" s="154">
        <f t="shared" si="592"/>
        <v>1.25</v>
      </c>
      <c r="G1515" s="139">
        <f t="shared" si="592"/>
        <v>10.5</v>
      </c>
      <c r="H1515" s="139">
        <f t="shared" si="592"/>
        <v>0</v>
      </c>
    </row>
    <row r="1516" spans="1:8" x14ac:dyDescent="0.25">
      <c r="A1516" s="61"/>
      <c r="B1516" s="157" t="s">
        <v>29</v>
      </c>
      <c r="C1516" s="139">
        <f t="shared" ref="C1516:H1516" si="593">SUM(C1506:C1509)</f>
        <v>40</v>
      </c>
      <c r="D1516" s="139">
        <f t="shared" si="593"/>
        <v>4.5</v>
      </c>
      <c r="E1516" s="139">
        <f t="shared" si="593"/>
        <v>0</v>
      </c>
      <c r="F1516" s="154">
        <f t="shared" si="593"/>
        <v>4.5</v>
      </c>
      <c r="G1516" s="139">
        <f t="shared" si="593"/>
        <v>35.5</v>
      </c>
      <c r="H1516" s="139">
        <f t="shared" si="593"/>
        <v>0</v>
      </c>
    </row>
    <row r="1517" spans="1:8" x14ac:dyDescent="0.25">
      <c r="A1517" s="61"/>
      <c r="B1517" s="157" t="s">
        <v>340</v>
      </c>
      <c r="C1517" s="139">
        <f t="shared" ref="C1517:H1517" si="594">SUM(C1510:C1511)</f>
        <v>8</v>
      </c>
      <c r="D1517" s="139">
        <f t="shared" si="594"/>
        <v>0.75</v>
      </c>
      <c r="E1517" s="139">
        <f t="shared" si="594"/>
        <v>0</v>
      </c>
      <c r="F1517" s="154">
        <f t="shared" si="594"/>
        <v>0.75</v>
      </c>
      <c r="G1517" s="139">
        <f t="shared" si="594"/>
        <v>7.25</v>
      </c>
      <c r="H1517" s="139">
        <f t="shared" si="594"/>
        <v>0</v>
      </c>
    </row>
    <row r="1518" spans="1:8" x14ac:dyDescent="0.25">
      <c r="A1518" s="61"/>
      <c r="B1518" s="157" t="s">
        <v>30</v>
      </c>
      <c r="C1518" s="139">
        <f t="shared" ref="C1518:H1518" si="595">C1501</f>
        <v>1</v>
      </c>
      <c r="D1518" s="139">
        <f t="shared" si="595"/>
        <v>1</v>
      </c>
      <c r="E1518" s="139">
        <f t="shared" si="595"/>
        <v>1</v>
      </c>
      <c r="F1518" s="154">
        <f t="shared" si="595"/>
        <v>0</v>
      </c>
      <c r="G1518" s="139">
        <f t="shared" si="595"/>
        <v>0</v>
      </c>
      <c r="H1518" s="139">
        <f t="shared" si="595"/>
        <v>0</v>
      </c>
    </row>
    <row r="1519" spans="1:8" x14ac:dyDescent="0.25">
      <c r="A1519" s="61"/>
      <c r="B1519" s="62" t="s">
        <v>336</v>
      </c>
      <c r="C1519" s="217"/>
      <c r="D1519" s="217"/>
      <c r="E1519" s="217"/>
      <c r="F1519" s="218"/>
      <c r="G1519" s="60"/>
      <c r="H1519" s="61"/>
    </row>
    <row r="1520" spans="1:8" ht="26.25" x14ac:dyDescent="0.25">
      <c r="A1520" s="36">
        <v>1</v>
      </c>
      <c r="B1520" s="88" t="s">
        <v>337</v>
      </c>
      <c r="C1520" s="66">
        <v>1</v>
      </c>
      <c r="D1520" s="66">
        <f>C1520-G1520-H1520</f>
        <v>0.25</v>
      </c>
      <c r="E1520" s="66">
        <f>D1520-F1520</f>
        <v>0</v>
      </c>
      <c r="F1520" s="67">
        <v>0.25</v>
      </c>
      <c r="G1520" s="61">
        <f>0.25+0.5</f>
        <v>0.75</v>
      </c>
      <c r="H1520" s="68"/>
    </row>
    <row r="1521" spans="1:11" x14ac:dyDescent="0.25">
      <c r="A1521" s="36">
        <v>2</v>
      </c>
      <c r="B1521" s="76" t="s">
        <v>338</v>
      </c>
      <c r="C1521" s="35">
        <f>11.5+0.25</f>
        <v>11.75</v>
      </c>
      <c r="D1521" s="35">
        <f>C1521-G1521-H1521</f>
        <v>2.5</v>
      </c>
      <c r="E1521" s="66">
        <f>D1521-F1521</f>
        <v>0</v>
      </c>
      <c r="F1521" s="143">
        <f>0.25+0.25+0.25+0.25+0.25+0.25+0.25+0.25+0.25+0.25</f>
        <v>2.5</v>
      </c>
      <c r="G1521" s="68">
        <f>0.25+0.5+0.25+0.25+1.5+0.25+6.25</f>
        <v>9.25</v>
      </c>
      <c r="H1521" s="68"/>
    </row>
    <row r="1522" spans="1:11" x14ac:dyDescent="0.25">
      <c r="A1522" s="36">
        <v>3</v>
      </c>
      <c r="B1522" s="76" t="s">
        <v>53</v>
      </c>
      <c r="C1522" s="66">
        <v>1</v>
      </c>
      <c r="D1522" s="66">
        <f>C1522-G1522-H1522</f>
        <v>0.25</v>
      </c>
      <c r="E1522" s="66">
        <f>D1522-F1522</f>
        <v>0</v>
      </c>
      <c r="F1522" s="67">
        <v>0.25</v>
      </c>
      <c r="G1522" s="61">
        <f>0.25+0.5</f>
        <v>0.75</v>
      </c>
      <c r="H1522" s="68"/>
    </row>
    <row r="1523" spans="1:11" x14ac:dyDescent="0.25">
      <c r="A1523" s="56">
        <v>4</v>
      </c>
      <c r="B1523" s="76" t="s">
        <v>64</v>
      </c>
      <c r="C1523" s="35">
        <f>12.25-1+1+0.25</f>
        <v>12.5</v>
      </c>
      <c r="D1523" s="35">
        <f>C1523-G1523-H1523</f>
        <v>2.25</v>
      </c>
      <c r="E1523" s="66">
        <f>D1523-F1523</f>
        <v>0</v>
      </c>
      <c r="F1523" s="143">
        <v>2.25</v>
      </c>
      <c r="G1523" s="68">
        <f>0.25+0.25+0.25+1.75+0.25+7.5</f>
        <v>10.25</v>
      </c>
      <c r="H1523" s="68"/>
    </row>
    <row r="1524" spans="1:11" x14ac:dyDescent="0.25">
      <c r="A1524" s="56">
        <v>5</v>
      </c>
      <c r="B1524" s="76" t="s">
        <v>45</v>
      </c>
      <c r="C1524" s="35">
        <v>5</v>
      </c>
      <c r="D1524" s="35">
        <f>C1524-G1524-H1524</f>
        <v>0.25</v>
      </c>
      <c r="E1524" s="66">
        <f>D1524-F1524</f>
        <v>0</v>
      </c>
      <c r="F1524" s="143">
        <v>0.25</v>
      </c>
      <c r="G1524" s="61">
        <f>0.25+4.5</f>
        <v>4.75</v>
      </c>
      <c r="H1524" s="68"/>
    </row>
    <row r="1525" spans="1:11" ht="29.25" x14ac:dyDescent="0.25">
      <c r="A1525" s="56"/>
      <c r="B1525" s="153" t="s">
        <v>339</v>
      </c>
      <c r="C1525" s="139">
        <f t="shared" ref="C1525:H1525" si="596">SUM(C1520:C1524)</f>
        <v>31.25</v>
      </c>
      <c r="D1525" s="139">
        <f t="shared" si="596"/>
        <v>5.5</v>
      </c>
      <c r="E1525" s="139">
        <f t="shared" si="596"/>
        <v>0</v>
      </c>
      <c r="F1525" s="154">
        <f t="shared" si="596"/>
        <v>5.5</v>
      </c>
      <c r="G1525" s="139">
        <f t="shared" si="596"/>
        <v>25.75</v>
      </c>
      <c r="H1525" s="139">
        <f t="shared" si="596"/>
        <v>0</v>
      </c>
    </row>
    <row r="1526" spans="1:11" x14ac:dyDescent="0.25">
      <c r="A1526" s="61"/>
      <c r="B1526" s="157" t="s">
        <v>131</v>
      </c>
      <c r="C1526" s="97">
        <f t="shared" ref="C1526:H1526" si="597">SUM(C1527:C1529)</f>
        <v>31.25</v>
      </c>
      <c r="D1526" s="97">
        <f t="shared" si="597"/>
        <v>5.5</v>
      </c>
      <c r="E1526" s="97">
        <f t="shared" si="597"/>
        <v>0</v>
      </c>
      <c r="F1526" s="98">
        <f t="shared" si="597"/>
        <v>5.5</v>
      </c>
      <c r="G1526" s="97">
        <f t="shared" si="597"/>
        <v>25.75</v>
      </c>
      <c r="H1526" s="97">
        <f t="shared" si="597"/>
        <v>0</v>
      </c>
      <c r="K1526">
        <f>9*0.25</f>
        <v>2.25</v>
      </c>
    </row>
    <row r="1527" spans="1:11" x14ac:dyDescent="0.25">
      <c r="A1527" s="61"/>
      <c r="B1527" s="157" t="s">
        <v>28</v>
      </c>
      <c r="C1527" s="139">
        <f t="shared" ref="C1527:H1527" si="598">C1520+C1521</f>
        <v>12.75</v>
      </c>
      <c r="D1527" s="139">
        <f t="shared" si="598"/>
        <v>2.75</v>
      </c>
      <c r="E1527" s="139">
        <f t="shared" si="598"/>
        <v>0</v>
      </c>
      <c r="F1527" s="154">
        <f t="shared" si="598"/>
        <v>2.75</v>
      </c>
      <c r="G1527" s="139">
        <f t="shared" si="598"/>
        <v>10</v>
      </c>
      <c r="H1527" s="139">
        <f t="shared" si="598"/>
        <v>0</v>
      </c>
    </row>
    <row r="1528" spans="1:11" x14ac:dyDescent="0.25">
      <c r="A1528" s="61"/>
      <c r="B1528" s="157" t="s">
        <v>36</v>
      </c>
      <c r="C1528" s="139">
        <f t="shared" ref="C1528:H1528" si="599">C1522+C1523</f>
        <v>13.5</v>
      </c>
      <c r="D1528" s="139">
        <f t="shared" si="599"/>
        <v>2.5</v>
      </c>
      <c r="E1528" s="139">
        <f t="shared" si="599"/>
        <v>0</v>
      </c>
      <c r="F1528" s="154">
        <f t="shared" si="599"/>
        <v>2.5</v>
      </c>
      <c r="G1528" s="139">
        <f t="shared" si="599"/>
        <v>11</v>
      </c>
      <c r="H1528" s="139">
        <f t="shared" si="599"/>
        <v>0</v>
      </c>
    </row>
    <row r="1529" spans="1:11" x14ac:dyDescent="0.25">
      <c r="A1529" s="61"/>
      <c r="B1529" s="157" t="s">
        <v>340</v>
      </c>
      <c r="C1529" s="139">
        <f t="shared" ref="C1529:H1529" si="600">C1524</f>
        <v>5</v>
      </c>
      <c r="D1529" s="139">
        <f t="shared" si="600"/>
        <v>0.25</v>
      </c>
      <c r="E1529" s="139">
        <f t="shared" si="600"/>
        <v>0</v>
      </c>
      <c r="F1529" s="154">
        <f t="shared" si="600"/>
        <v>0.25</v>
      </c>
      <c r="G1529" s="139">
        <f t="shared" si="600"/>
        <v>4.75</v>
      </c>
      <c r="H1529" s="139">
        <f t="shared" si="600"/>
        <v>0</v>
      </c>
    </row>
    <row r="1530" spans="1:11" ht="15.75" x14ac:dyDescent="0.25">
      <c r="A1530" s="61"/>
      <c r="B1530" s="298" t="s">
        <v>341</v>
      </c>
      <c r="C1530" s="73"/>
      <c r="D1530" s="73"/>
      <c r="E1530" s="73"/>
      <c r="F1530" s="74"/>
      <c r="G1530" s="60"/>
      <c r="H1530" s="61"/>
    </row>
    <row r="1531" spans="1:11" x14ac:dyDescent="0.25">
      <c r="A1531" s="61"/>
      <c r="B1531" s="299" t="s">
        <v>185</v>
      </c>
      <c r="C1531" s="73"/>
      <c r="D1531" s="73"/>
      <c r="E1531" s="73"/>
      <c r="F1531" s="74"/>
      <c r="G1531" s="60"/>
      <c r="H1531" s="61"/>
    </row>
    <row r="1532" spans="1:11" ht="26.25" x14ac:dyDescent="0.25">
      <c r="A1532" s="56">
        <v>1</v>
      </c>
      <c r="B1532" s="70" t="s">
        <v>342</v>
      </c>
      <c r="C1532" s="167">
        <v>1</v>
      </c>
      <c r="D1532" s="167">
        <f>C1532-G1532-H1532</f>
        <v>0.5</v>
      </c>
      <c r="E1532" s="66">
        <f>D1532-F1532</f>
        <v>0</v>
      </c>
      <c r="F1532" s="168">
        <v>0.5</v>
      </c>
      <c r="G1532" s="68">
        <f>0.25+0.25</f>
        <v>0.5</v>
      </c>
      <c r="H1532" s="68"/>
    </row>
    <row r="1533" spans="1:11" x14ac:dyDescent="0.25">
      <c r="A1533" s="56">
        <v>2</v>
      </c>
      <c r="B1533" s="70" t="s">
        <v>309</v>
      </c>
      <c r="C1533" s="167">
        <v>0.25</v>
      </c>
      <c r="D1533" s="167">
        <f>C1533-G1533-H1533</f>
        <v>0</v>
      </c>
      <c r="E1533" s="66">
        <f>D1533-F1533</f>
        <v>0</v>
      </c>
      <c r="F1533" s="168"/>
      <c r="G1533" s="61">
        <v>0.25</v>
      </c>
      <c r="H1533" s="68"/>
    </row>
    <row r="1534" spans="1:11" x14ac:dyDescent="0.25">
      <c r="A1534" s="56">
        <v>3</v>
      </c>
      <c r="B1534" s="65" t="s">
        <v>53</v>
      </c>
      <c r="C1534" s="167">
        <v>1</v>
      </c>
      <c r="D1534" s="167">
        <f>C1534-G1534-H1534</f>
        <v>0</v>
      </c>
      <c r="E1534" s="66">
        <f>D1534-F1534</f>
        <v>0</v>
      </c>
      <c r="F1534" s="168"/>
      <c r="G1534" s="68">
        <f>0.25+0.75</f>
        <v>1</v>
      </c>
      <c r="H1534" s="68"/>
    </row>
    <row r="1535" spans="1:11" x14ac:dyDescent="0.25">
      <c r="A1535" s="61"/>
      <c r="B1535" s="106" t="s">
        <v>54</v>
      </c>
      <c r="C1535" s="73">
        <f t="shared" ref="C1535:H1535" si="601">SUM(C1532:C1534)</f>
        <v>2.25</v>
      </c>
      <c r="D1535" s="73">
        <f t="shared" si="601"/>
        <v>0.5</v>
      </c>
      <c r="E1535" s="73">
        <f t="shared" si="601"/>
        <v>0</v>
      </c>
      <c r="F1535" s="74">
        <f t="shared" si="601"/>
        <v>0.5</v>
      </c>
      <c r="G1535" s="73">
        <f t="shared" si="601"/>
        <v>1.75</v>
      </c>
      <c r="H1535" s="73">
        <f t="shared" si="601"/>
        <v>0</v>
      </c>
    </row>
    <row r="1536" spans="1:11" x14ac:dyDescent="0.25">
      <c r="A1536" s="61"/>
      <c r="B1536" s="79" t="s">
        <v>343</v>
      </c>
      <c r="C1536" s="73"/>
      <c r="D1536" s="73"/>
      <c r="E1536" s="73"/>
      <c r="F1536" s="74"/>
      <c r="G1536" s="60"/>
      <c r="H1536" s="61"/>
    </row>
    <row r="1537" spans="1:8" ht="26.25" x14ac:dyDescent="0.25">
      <c r="A1537" s="56">
        <v>1</v>
      </c>
      <c r="B1537" s="88" t="s">
        <v>344</v>
      </c>
      <c r="C1537" s="223">
        <v>1</v>
      </c>
      <c r="D1537" s="223">
        <f>C1537-G1537-H1537</f>
        <v>0.5</v>
      </c>
      <c r="E1537" s="66">
        <f>D1537-F1537</f>
        <v>0</v>
      </c>
      <c r="F1537" s="224">
        <v>0.5</v>
      </c>
      <c r="G1537" s="68">
        <f>0.25+0.25</f>
        <v>0.5</v>
      </c>
      <c r="H1537" s="68"/>
    </row>
    <row r="1538" spans="1:8" x14ac:dyDescent="0.25">
      <c r="A1538" s="56">
        <v>2</v>
      </c>
      <c r="B1538" s="76" t="s">
        <v>345</v>
      </c>
      <c r="C1538" s="35">
        <f>15.75+0.5+2</f>
        <v>18.25</v>
      </c>
      <c r="D1538" s="35">
        <f>C1538-G1538-H1538</f>
        <v>6</v>
      </c>
      <c r="E1538" s="66">
        <f>D1538-F1538</f>
        <v>0</v>
      </c>
      <c r="F1538" s="143">
        <v>6</v>
      </c>
      <c r="G1538" s="68">
        <f>0.25+0.5+0.5+2.75+3+2+2.75</f>
        <v>11.75</v>
      </c>
      <c r="H1538" s="68">
        <v>0.5</v>
      </c>
    </row>
    <row r="1539" spans="1:8" x14ac:dyDescent="0.25">
      <c r="A1539" s="36">
        <v>3</v>
      </c>
      <c r="B1539" s="76" t="s">
        <v>64</v>
      </c>
      <c r="C1539" s="35">
        <f>5+1</f>
        <v>6</v>
      </c>
      <c r="D1539" s="35">
        <f>C1539-G1539-H1539</f>
        <v>1.5</v>
      </c>
      <c r="E1539" s="66">
        <f>D1539-F1539</f>
        <v>0</v>
      </c>
      <c r="F1539" s="143">
        <v>1.5</v>
      </c>
      <c r="G1539" s="68">
        <f>0.75+2+1+0.75</f>
        <v>4.5</v>
      </c>
      <c r="H1539" s="68"/>
    </row>
    <row r="1540" spans="1:8" x14ac:dyDescent="0.25">
      <c r="A1540" s="36">
        <v>4</v>
      </c>
      <c r="B1540" s="76" t="s">
        <v>44</v>
      </c>
      <c r="C1540" s="35">
        <v>1</v>
      </c>
      <c r="D1540" s="35">
        <f>C1540-G1540-H1540</f>
        <v>0</v>
      </c>
      <c r="E1540" s="66">
        <f>D1540-F1540</f>
        <v>0</v>
      </c>
      <c r="F1540" s="143"/>
      <c r="G1540" s="68">
        <v>1</v>
      </c>
      <c r="H1540" s="68"/>
    </row>
    <row r="1541" spans="1:8" x14ac:dyDescent="0.25">
      <c r="A1541" s="36">
        <v>5</v>
      </c>
      <c r="B1541" s="76" t="s">
        <v>45</v>
      </c>
      <c r="C1541" s="35">
        <v>4</v>
      </c>
      <c r="D1541" s="35">
        <f>C1541-G1541-H1541</f>
        <v>0</v>
      </c>
      <c r="E1541" s="66">
        <f>D1541-F1541</f>
        <v>0</v>
      </c>
      <c r="F1541" s="143"/>
      <c r="G1541" s="68">
        <v>4</v>
      </c>
      <c r="H1541" s="68"/>
    </row>
    <row r="1542" spans="1:8" x14ac:dyDescent="0.25">
      <c r="A1542" s="61"/>
      <c r="B1542" s="72" t="s">
        <v>346</v>
      </c>
      <c r="C1542" s="73">
        <f t="shared" ref="C1542:H1542" si="602">SUM(C1537:C1541)</f>
        <v>30.25</v>
      </c>
      <c r="D1542" s="73">
        <f t="shared" si="602"/>
        <v>8</v>
      </c>
      <c r="E1542" s="73">
        <f t="shared" si="602"/>
        <v>0</v>
      </c>
      <c r="F1542" s="74">
        <f t="shared" si="602"/>
        <v>8</v>
      </c>
      <c r="G1542" s="73">
        <f t="shared" si="602"/>
        <v>21.75</v>
      </c>
      <c r="H1542" s="73">
        <f t="shared" si="602"/>
        <v>0.5</v>
      </c>
    </row>
    <row r="1543" spans="1:8" x14ac:dyDescent="0.25">
      <c r="A1543" s="61"/>
      <c r="B1543" s="60"/>
      <c r="C1543" s="83">
        <f t="shared" ref="C1543:H1543" si="603">SUM(C1544:C1546)</f>
        <v>30.25</v>
      </c>
      <c r="D1543" s="83">
        <f t="shared" si="603"/>
        <v>8</v>
      </c>
      <c r="E1543" s="83">
        <f t="shared" si="603"/>
        <v>0</v>
      </c>
      <c r="F1543" s="84">
        <f t="shared" si="603"/>
        <v>8</v>
      </c>
      <c r="G1543" s="83">
        <f t="shared" si="603"/>
        <v>21.75</v>
      </c>
      <c r="H1543" s="83">
        <f t="shared" si="603"/>
        <v>0.5</v>
      </c>
    </row>
    <row r="1544" spans="1:8" x14ac:dyDescent="0.25">
      <c r="A1544" s="61"/>
      <c r="B1544" s="82" t="s">
        <v>623</v>
      </c>
      <c r="C1544" s="73">
        <f t="shared" ref="C1544:H1544" si="604">C1537+C1538</f>
        <v>19.25</v>
      </c>
      <c r="D1544" s="73">
        <f t="shared" si="604"/>
        <v>6.5</v>
      </c>
      <c r="E1544" s="73">
        <f t="shared" si="604"/>
        <v>0</v>
      </c>
      <c r="F1544" s="74">
        <f t="shared" si="604"/>
        <v>6.5</v>
      </c>
      <c r="G1544" s="73">
        <f t="shared" si="604"/>
        <v>12.25</v>
      </c>
      <c r="H1544" s="73">
        <f t="shared" si="604"/>
        <v>0.5</v>
      </c>
    </row>
    <row r="1545" spans="1:8" x14ac:dyDescent="0.25">
      <c r="A1545" s="61"/>
      <c r="B1545" s="82" t="s">
        <v>583</v>
      </c>
      <c r="C1545" s="73">
        <f t="shared" ref="C1545:H1545" si="605">C1539</f>
        <v>6</v>
      </c>
      <c r="D1545" s="73">
        <f t="shared" si="605"/>
        <v>1.5</v>
      </c>
      <c r="E1545" s="73">
        <f t="shared" si="605"/>
        <v>0</v>
      </c>
      <c r="F1545" s="74">
        <f t="shared" si="605"/>
        <v>1.5</v>
      </c>
      <c r="G1545" s="73">
        <f t="shared" si="605"/>
        <v>4.5</v>
      </c>
      <c r="H1545" s="73">
        <f t="shared" si="605"/>
        <v>0</v>
      </c>
    </row>
    <row r="1546" spans="1:8" x14ac:dyDescent="0.25">
      <c r="A1546" s="61"/>
      <c r="B1546" s="82" t="s">
        <v>179</v>
      </c>
      <c r="C1546" s="73">
        <f t="shared" ref="C1546:H1546" si="606">C1540+C1541</f>
        <v>5</v>
      </c>
      <c r="D1546" s="73">
        <f t="shared" si="606"/>
        <v>0</v>
      </c>
      <c r="E1546" s="73">
        <f t="shared" si="606"/>
        <v>0</v>
      </c>
      <c r="F1546" s="74">
        <f t="shared" si="606"/>
        <v>0</v>
      </c>
      <c r="G1546" s="73">
        <f t="shared" si="606"/>
        <v>5</v>
      </c>
      <c r="H1546" s="73">
        <f t="shared" si="606"/>
        <v>0</v>
      </c>
    </row>
    <row r="1547" spans="1:8" x14ac:dyDescent="0.25">
      <c r="A1547" s="61"/>
      <c r="B1547" s="120" t="s">
        <v>347</v>
      </c>
      <c r="C1547" s="73"/>
      <c r="D1547" s="73"/>
      <c r="E1547" s="73"/>
      <c r="F1547" s="74"/>
      <c r="G1547" s="60"/>
      <c r="H1547" s="61"/>
    </row>
    <row r="1548" spans="1:8" x14ac:dyDescent="0.25">
      <c r="A1548" s="36">
        <v>1</v>
      </c>
      <c r="B1548" s="76" t="s">
        <v>348</v>
      </c>
      <c r="C1548" s="66">
        <v>1</v>
      </c>
      <c r="D1548" s="66">
        <f t="shared" ref="D1548:D1553" si="607">C1548-G1548-H1548</f>
        <v>0.5</v>
      </c>
      <c r="E1548" s="66">
        <f t="shared" ref="E1548:E1553" si="608">D1548-F1548</f>
        <v>0</v>
      </c>
      <c r="F1548" s="67">
        <v>0.5</v>
      </c>
      <c r="G1548" s="68">
        <f>0.25+0.25</f>
        <v>0.5</v>
      </c>
      <c r="H1548" s="68"/>
    </row>
    <row r="1549" spans="1:8" x14ac:dyDescent="0.25">
      <c r="A1549" s="56">
        <v>2</v>
      </c>
      <c r="B1549" s="76" t="s">
        <v>349</v>
      </c>
      <c r="C1549" s="35">
        <f>4.5+1</f>
        <v>5.5</v>
      </c>
      <c r="D1549" s="35">
        <f t="shared" si="607"/>
        <v>2.5</v>
      </c>
      <c r="E1549" s="66">
        <f t="shared" si="608"/>
        <v>0</v>
      </c>
      <c r="F1549" s="143">
        <v>2.5</v>
      </c>
      <c r="G1549" s="68">
        <f>0.5+0.75+0.5+1.25</f>
        <v>3</v>
      </c>
      <c r="H1549" s="68"/>
    </row>
    <row r="1550" spans="1:8" x14ac:dyDescent="0.25">
      <c r="A1550" s="56">
        <v>3</v>
      </c>
      <c r="B1550" s="76" t="s">
        <v>53</v>
      </c>
      <c r="C1550" s="35">
        <v>1</v>
      </c>
      <c r="D1550" s="35">
        <f t="shared" si="607"/>
        <v>0.5</v>
      </c>
      <c r="E1550" s="66">
        <f t="shared" si="608"/>
        <v>0</v>
      </c>
      <c r="F1550" s="143">
        <v>0.5</v>
      </c>
      <c r="G1550" s="68">
        <f>0.25+0.25</f>
        <v>0.5</v>
      </c>
      <c r="H1550" s="68"/>
    </row>
    <row r="1551" spans="1:8" x14ac:dyDescent="0.25">
      <c r="A1551" s="36">
        <v>4</v>
      </c>
      <c r="B1551" s="76" t="s">
        <v>64</v>
      </c>
      <c r="C1551" s="35">
        <f>5+1</f>
        <v>6</v>
      </c>
      <c r="D1551" s="35">
        <f t="shared" si="607"/>
        <v>2.5</v>
      </c>
      <c r="E1551" s="66">
        <f t="shared" si="608"/>
        <v>0</v>
      </c>
      <c r="F1551" s="143">
        <v>2.5</v>
      </c>
      <c r="G1551" s="68">
        <f>0.25+1+1+1.25</f>
        <v>3.5</v>
      </c>
      <c r="H1551" s="68"/>
    </row>
    <row r="1552" spans="1:8" x14ac:dyDescent="0.25">
      <c r="A1552" s="56">
        <v>5</v>
      </c>
      <c r="B1552" s="76" t="s">
        <v>44</v>
      </c>
      <c r="C1552" s="66">
        <v>1</v>
      </c>
      <c r="D1552" s="66">
        <f t="shared" si="607"/>
        <v>0.25</v>
      </c>
      <c r="E1552" s="66">
        <f t="shared" si="608"/>
        <v>0</v>
      </c>
      <c r="F1552" s="67">
        <v>0.25</v>
      </c>
      <c r="G1552" s="61">
        <f>0.25+0.5</f>
        <v>0.75</v>
      </c>
      <c r="H1552" s="68"/>
    </row>
    <row r="1553" spans="1:8" x14ac:dyDescent="0.25">
      <c r="A1553" s="36">
        <v>6</v>
      </c>
      <c r="B1553" s="76" t="s">
        <v>45</v>
      </c>
      <c r="C1553" s="35">
        <v>4</v>
      </c>
      <c r="D1553" s="35">
        <f t="shared" si="607"/>
        <v>0.25</v>
      </c>
      <c r="E1553" s="66">
        <f t="shared" si="608"/>
        <v>0</v>
      </c>
      <c r="F1553" s="143">
        <v>0.25</v>
      </c>
      <c r="G1553" s="61">
        <f>0.25+3+0.5</f>
        <v>3.75</v>
      </c>
      <c r="H1553" s="68"/>
    </row>
    <row r="1554" spans="1:8" x14ac:dyDescent="0.25">
      <c r="A1554" s="61"/>
      <c r="B1554" s="72" t="s">
        <v>350</v>
      </c>
      <c r="C1554" s="73">
        <f t="shared" ref="C1554:H1554" si="609">SUM(C1548:C1553)</f>
        <v>18.5</v>
      </c>
      <c r="D1554" s="73">
        <f t="shared" si="609"/>
        <v>6.5</v>
      </c>
      <c r="E1554" s="73">
        <f t="shared" si="609"/>
        <v>0</v>
      </c>
      <c r="F1554" s="74">
        <f t="shared" si="609"/>
        <v>6.5</v>
      </c>
      <c r="G1554" s="73">
        <f t="shared" si="609"/>
        <v>12</v>
      </c>
      <c r="H1554" s="73">
        <f t="shared" si="609"/>
        <v>0</v>
      </c>
    </row>
    <row r="1555" spans="1:8" x14ac:dyDescent="0.25">
      <c r="A1555" s="123"/>
      <c r="B1555" s="60"/>
      <c r="C1555" s="258">
        <f t="shared" ref="C1555:H1555" si="610">SUM(C1556:C1558)</f>
        <v>18.5</v>
      </c>
      <c r="D1555" s="258">
        <f t="shared" si="610"/>
        <v>6.5</v>
      </c>
      <c r="E1555" s="258">
        <f t="shared" si="610"/>
        <v>0</v>
      </c>
      <c r="F1555" s="259">
        <f t="shared" si="610"/>
        <v>6.5</v>
      </c>
      <c r="G1555" s="258">
        <f t="shared" si="610"/>
        <v>12</v>
      </c>
      <c r="H1555" s="258">
        <f t="shared" si="610"/>
        <v>0</v>
      </c>
    </row>
    <row r="1556" spans="1:8" x14ac:dyDescent="0.25">
      <c r="A1556" s="61"/>
      <c r="B1556" s="82" t="s">
        <v>623</v>
      </c>
      <c r="C1556" s="73">
        <f t="shared" ref="C1556:H1556" si="611">C1548+C1549</f>
        <v>6.5</v>
      </c>
      <c r="D1556" s="73">
        <f t="shared" si="611"/>
        <v>3</v>
      </c>
      <c r="E1556" s="73">
        <f t="shared" si="611"/>
        <v>0</v>
      </c>
      <c r="F1556" s="74">
        <f t="shared" si="611"/>
        <v>3</v>
      </c>
      <c r="G1556" s="73">
        <f t="shared" si="611"/>
        <v>3.5</v>
      </c>
      <c r="H1556" s="73">
        <f t="shared" si="611"/>
        <v>0</v>
      </c>
    </row>
    <row r="1557" spans="1:8" x14ac:dyDescent="0.25">
      <c r="A1557" s="61"/>
      <c r="B1557" s="82" t="s">
        <v>583</v>
      </c>
      <c r="C1557" s="73">
        <f t="shared" ref="C1557:H1557" si="612">C1550+C1551</f>
        <v>7</v>
      </c>
      <c r="D1557" s="73">
        <f t="shared" si="612"/>
        <v>3</v>
      </c>
      <c r="E1557" s="73">
        <f t="shared" si="612"/>
        <v>0</v>
      </c>
      <c r="F1557" s="74">
        <f t="shared" si="612"/>
        <v>3</v>
      </c>
      <c r="G1557" s="73">
        <f t="shared" si="612"/>
        <v>4</v>
      </c>
      <c r="H1557" s="73">
        <f t="shared" si="612"/>
        <v>0</v>
      </c>
    </row>
    <row r="1558" spans="1:8" x14ac:dyDescent="0.25">
      <c r="A1558" s="300"/>
      <c r="B1558" s="82" t="s">
        <v>179</v>
      </c>
      <c r="C1558" s="73">
        <f t="shared" ref="C1558:H1558" si="613">C1552+C1553</f>
        <v>5</v>
      </c>
      <c r="D1558" s="73">
        <f t="shared" si="613"/>
        <v>0.5</v>
      </c>
      <c r="E1558" s="73">
        <f t="shared" si="613"/>
        <v>0</v>
      </c>
      <c r="F1558" s="74">
        <f t="shared" si="613"/>
        <v>0.5</v>
      </c>
      <c r="G1558" s="73">
        <f t="shared" si="613"/>
        <v>4.5</v>
      </c>
      <c r="H1558" s="73">
        <f t="shared" si="613"/>
        <v>0</v>
      </c>
    </row>
    <row r="1559" spans="1:8" x14ac:dyDescent="0.25">
      <c r="A1559" s="61"/>
      <c r="B1559" s="62" t="s">
        <v>351</v>
      </c>
      <c r="C1559" s="73"/>
      <c r="D1559" s="73"/>
      <c r="E1559" s="73"/>
      <c r="F1559" s="74"/>
      <c r="G1559" s="60"/>
      <c r="H1559" s="61"/>
    </row>
    <row r="1560" spans="1:8" x14ac:dyDescent="0.25">
      <c r="A1560" s="36">
        <v>1</v>
      </c>
      <c r="B1560" s="76" t="s">
        <v>352</v>
      </c>
      <c r="C1560" s="66">
        <v>1</v>
      </c>
      <c r="D1560" s="66">
        <f t="shared" ref="D1560:D1565" si="614">C1560-G1560-H1560</f>
        <v>0.25</v>
      </c>
      <c r="E1560" s="66">
        <f t="shared" ref="E1560:E1565" si="615">D1560-F1560</f>
        <v>0</v>
      </c>
      <c r="F1560" s="67">
        <v>0.25</v>
      </c>
      <c r="G1560" s="61">
        <f>0.25+0.5</f>
        <v>0.75</v>
      </c>
      <c r="H1560" s="68"/>
    </row>
    <row r="1561" spans="1:8" x14ac:dyDescent="0.25">
      <c r="A1561" s="36">
        <v>2</v>
      </c>
      <c r="B1561" s="76" t="s">
        <v>229</v>
      </c>
      <c r="C1561" s="35">
        <f>8+0.5</f>
        <v>8.5</v>
      </c>
      <c r="D1561" s="35">
        <f t="shared" si="614"/>
        <v>1.5</v>
      </c>
      <c r="E1561" s="66">
        <f t="shared" si="615"/>
        <v>0</v>
      </c>
      <c r="F1561" s="143">
        <f>6*0.25</f>
        <v>1.5</v>
      </c>
      <c r="G1561" s="68">
        <f>0.5+0.25+0.25+1+2+3</f>
        <v>7</v>
      </c>
      <c r="H1561" s="68"/>
    </row>
    <row r="1562" spans="1:8" x14ac:dyDescent="0.25">
      <c r="A1562" s="36">
        <v>3</v>
      </c>
      <c r="B1562" s="76" t="s">
        <v>353</v>
      </c>
      <c r="C1562" s="35">
        <v>1</v>
      </c>
      <c r="D1562" s="35">
        <f t="shared" si="614"/>
        <v>0.25</v>
      </c>
      <c r="E1562" s="66">
        <f t="shared" si="615"/>
        <v>0</v>
      </c>
      <c r="F1562" s="143">
        <v>0.25</v>
      </c>
      <c r="G1562" s="61">
        <f>0.25+0.5</f>
        <v>0.75</v>
      </c>
      <c r="H1562" s="68"/>
    </row>
    <row r="1563" spans="1:8" x14ac:dyDescent="0.25">
      <c r="A1563" s="36">
        <v>4</v>
      </c>
      <c r="B1563" s="76" t="s">
        <v>233</v>
      </c>
      <c r="C1563" s="35">
        <f>11+0.5+1</f>
        <v>12.5</v>
      </c>
      <c r="D1563" s="35">
        <f t="shared" si="614"/>
        <v>2</v>
      </c>
      <c r="E1563" s="66">
        <f t="shared" si="615"/>
        <v>0</v>
      </c>
      <c r="F1563" s="143">
        <v>2</v>
      </c>
      <c r="G1563" s="68">
        <f>0.25+0.5+1.75+3.25+1+3.75</f>
        <v>10.5</v>
      </c>
      <c r="H1563" s="68"/>
    </row>
    <row r="1564" spans="1:8" x14ac:dyDescent="0.25">
      <c r="A1564" s="36">
        <v>5</v>
      </c>
      <c r="B1564" s="76" t="s">
        <v>44</v>
      </c>
      <c r="C1564" s="35">
        <v>1</v>
      </c>
      <c r="D1564" s="35">
        <f t="shared" si="614"/>
        <v>0</v>
      </c>
      <c r="E1564" s="66">
        <f t="shared" si="615"/>
        <v>0</v>
      </c>
      <c r="F1564" s="143">
        <v>0</v>
      </c>
      <c r="G1564" s="68">
        <f>0.25+0.75</f>
        <v>1</v>
      </c>
      <c r="H1564" s="68"/>
    </row>
    <row r="1565" spans="1:8" x14ac:dyDescent="0.25">
      <c r="A1565" s="36">
        <v>6</v>
      </c>
      <c r="B1565" s="76" t="s">
        <v>45</v>
      </c>
      <c r="C1565" s="35">
        <f>4+1</f>
        <v>5</v>
      </c>
      <c r="D1565" s="35">
        <f t="shared" si="614"/>
        <v>1.25</v>
      </c>
      <c r="E1565" s="66">
        <f t="shared" si="615"/>
        <v>0</v>
      </c>
      <c r="F1565" s="143">
        <v>1.25</v>
      </c>
      <c r="G1565" s="68">
        <f>0.25+0.25+0.5+0.5+2.25</f>
        <v>3.75</v>
      </c>
      <c r="H1565" s="68"/>
    </row>
    <row r="1566" spans="1:8" x14ac:dyDescent="0.25">
      <c r="A1566" s="61"/>
      <c r="B1566" s="72" t="s">
        <v>54</v>
      </c>
      <c r="C1566" s="73">
        <f t="shared" ref="C1566:H1566" si="616">SUM(C1560:C1565)</f>
        <v>29</v>
      </c>
      <c r="D1566" s="73">
        <f t="shared" si="616"/>
        <v>5.25</v>
      </c>
      <c r="E1566" s="73">
        <f t="shared" si="616"/>
        <v>0</v>
      </c>
      <c r="F1566" s="74">
        <f t="shared" si="616"/>
        <v>5.25</v>
      </c>
      <c r="G1566" s="73">
        <f t="shared" si="616"/>
        <v>23.75</v>
      </c>
      <c r="H1566" s="73">
        <f t="shared" si="616"/>
        <v>0</v>
      </c>
    </row>
    <row r="1567" spans="1:8" x14ac:dyDescent="0.25">
      <c r="A1567" s="123"/>
      <c r="B1567" s="33" t="s">
        <v>354</v>
      </c>
      <c r="C1567" s="68"/>
      <c r="D1567" s="68"/>
      <c r="E1567" s="68"/>
      <c r="F1567" s="71"/>
      <c r="G1567" s="60"/>
      <c r="H1567" s="61"/>
    </row>
    <row r="1568" spans="1:8" x14ac:dyDescent="0.25">
      <c r="A1568" s="56">
        <v>1</v>
      </c>
      <c r="B1568" s="76" t="s">
        <v>355</v>
      </c>
      <c r="C1568" s="35">
        <f>2.75-0.5</f>
        <v>2.25</v>
      </c>
      <c r="D1568" s="35">
        <f>C1568-G1568-H1568</f>
        <v>0.5</v>
      </c>
      <c r="E1568" s="66">
        <f>D1568-F1568</f>
        <v>0</v>
      </c>
      <c r="F1568" s="143">
        <v>0.5</v>
      </c>
      <c r="G1568" s="68">
        <f>0.25+0.25+0.75+0.5</f>
        <v>1.75</v>
      </c>
      <c r="H1568" s="68"/>
    </row>
    <row r="1569" spans="1:8" x14ac:dyDescent="0.25">
      <c r="A1569" s="56">
        <v>2</v>
      </c>
      <c r="B1569" s="76" t="s">
        <v>233</v>
      </c>
      <c r="C1569" s="35">
        <f>2.5-1</f>
        <v>1.5</v>
      </c>
      <c r="D1569" s="35">
        <f>C1569-G1569-H1569</f>
        <v>0.25</v>
      </c>
      <c r="E1569" s="66">
        <f>D1569-F1569</f>
        <v>0</v>
      </c>
      <c r="F1569" s="143">
        <v>0.25</v>
      </c>
      <c r="G1569" s="61">
        <f>0.25+0.5+0.5</f>
        <v>1.25</v>
      </c>
      <c r="H1569" s="68"/>
    </row>
    <row r="1570" spans="1:8" x14ac:dyDescent="0.25">
      <c r="A1570" s="56">
        <v>3</v>
      </c>
      <c r="B1570" s="76" t="s">
        <v>45</v>
      </c>
      <c r="C1570" s="35">
        <v>1</v>
      </c>
      <c r="D1570" s="35">
        <f>C1570-G1570-H1570</f>
        <v>0</v>
      </c>
      <c r="E1570" s="66">
        <f>D1570-F1570</f>
        <v>0</v>
      </c>
      <c r="F1570" s="143">
        <v>0</v>
      </c>
      <c r="G1570" s="68">
        <v>1</v>
      </c>
      <c r="H1570" s="68"/>
    </row>
    <row r="1571" spans="1:8" x14ac:dyDescent="0.25">
      <c r="A1571" s="61"/>
      <c r="B1571" s="254" t="s">
        <v>624</v>
      </c>
      <c r="C1571" s="73">
        <f t="shared" ref="C1571:H1571" si="617">SUM(C1568:C1570)</f>
        <v>4.75</v>
      </c>
      <c r="D1571" s="73">
        <f t="shared" si="617"/>
        <v>0.75</v>
      </c>
      <c r="E1571" s="73">
        <f t="shared" si="617"/>
        <v>0</v>
      </c>
      <c r="F1571" s="74">
        <f t="shared" si="617"/>
        <v>0.75</v>
      </c>
      <c r="G1571" s="73">
        <f t="shared" si="617"/>
        <v>4</v>
      </c>
      <c r="H1571" s="73">
        <f t="shared" si="617"/>
        <v>0</v>
      </c>
    </row>
    <row r="1572" spans="1:8" x14ac:dyDescent="0.25">
      <c r="A1572" s="61"/>
      <c r="B1572" s="79" t="s">
        <v>625</v>
      </c>
      <c r="C1572" s="73"/>
      <c r="D1572" s="73"/>
      <c r="E1572" s="73"/>
      <c r="F1572" s="74"/>
      <c r="G1572" s="60"/>
      <c r="H1572" s="68"/>
    </row>
    <row r="1573" spans="1:8" x14ac:dyDescent="0.25">
      <c r="A1573" s="61">
        <v>1</v>
      </c>
      <c r="B1573" s="65" t="s">
        <v>229</v>
      </c>
      <c r="C1573" s="167">
        <v>1</v>
      </c>
      <c r="D1573" s="167">
        <f>C1573-G1573-H1573</f>
        <v>0.5</v>
      </c>
      <c r="E1573" s="66">
        <f>D1573-F1573</f>
        <v>0</v>
      </c>
      <c r="F1573" s="168">
        <v>0.5</v>
      </c>
      <c r="G1573" s="68">
        <f>0.25+0.25</f>
        <v>0.5</v>
      </c>
      <c r="H1573" s="68"/>
    </row>
    <row r="1574" spans="1:8" x14ac:dyDescent="0.25">
      <c r="A1574" s="61">
        <v>2</v>
      </c>
      <c r="B1574" s="65" t="s">
        <v>233</v>
      </c>
      <c r="C1574" s="167">
        <v>2</v>
      </c>
      <c r="D1574" s="167">
        <f>C1574-G1574-H1574</f>
        <v>1</v>
      </c>
      <c r="E1574" s="66">
        <f>D1574-F1574</f>
        <v>0</v>
      </c>
      <c r="F1574" s="168">
        <v>1</v>
      </c>
      <c r="G1574" s="68">
        <f>0.5+0.5</f>
        <v>1</v>
      </c>
      <c r="H1574" s="68"/>
    </row>
    <row r="1575" spans="1:8" x14ac:dyDescent="0.25">
      <c r="A1575" s="61">
        <v>3</v>
      </c>
      <c r="B1575" s="65" t="s">
        <v>45</v>
      </c>
      <c r="C1575" s="167">
        <f>3-0.5</f>
        <v>2.5</v>
      </c>
      <c r="D1575" s="167">
        <f>C1575-G1575-H1575</f>
        <v>0.5</v>
      </c>
      <c r="E1575" s="66">
        <f>D1575-F1575</f>
        <v>0</v>
      </c>
      <c r="F1575" s="168">
        <v>0.5</v>
      </c>
      <c r="G1575" s="68">
        <f>0.5+0.5+1</f>
        <v>2</v>
      </c>
      <c r="H1575" s="68"/>
    </row>
    <row r="1576" spans="1:8" x14ac:dyDescent="0.25">
      <c r="A1576" s="61"/>
      <c r="B1576" s="254" t="s">
        <v>57</v>
      </c>
      <c r="C1576" s="73">
        <f t="shared" ref="C1576:H1576" si="618">SUM(C1573:C1575)</f>
        <v>5.5</v>
      </c>
      <c r="D1576" s="73">
        <f t="shared" si="618"/>
        <v>2</v>
      </c>
      <c r="E1576" s="73">
        <f t="shared" si="618"/>
        <v>0</v>
      </c>
      <c r="F1576" s="74">
        <f t="shared" si="618"/>
        <v>2</v>
      </c>
      <c r="G1576" s="73">
        <f t="shared" si="618"/>
        <v>3.5</v>
      </c>
      <c r="H1576" s="73">
        <f t="shared" si="618"/>
        <v>0</v>
      </c>
    </row>
    <row r="1577" spans="1:8" x14ac:dyDescent="0.25">
      <c r="A1577" s="61"/>
      <c r="B1577" s="79" t="s">
        <v>626</v>
      </c>
      <c r="C1577" s="162"/>
      <c r="D1577" s="162"/>
      <c r="E1577" s="162"/>
      <c r="F1577" s="301"/>
      <c r="G1577" s="60"/>
      <c r="H1577" s="61"/>
    </row>
    <row r="1578" spans="1:8" x14ac:dyDescent="0.25">
      <c r="A1578" s="61" t="s">
        <v>61</v>
      </c>
      <c r="B1578" s="65" t="s">
        <v>229</v>
      </c>
      <c r="C1578" s="167">
        <f>2+2</f>
        <v>4</v>
      </c>
      <c r="D1578" s="167">
        <f>C1578-G1578-H1578</f>
        <v>1</v>
      </c>
      <c r="E1578" s="66">
        <f>D1578-F1578</f>
        <v>0</v>
      </c>
      <c r="F1578" s="168">
        <v>1</v>
      </c>
      <c r="G1578" s="68">
        <f>0.25+0.25+0.5</f>
        <v>1</v>
      </c>
      <c r="H1578" s="68">
        <v>2</v>
      </c>
    </row>
    <row r="1579" spans="1:8" x14ac:dyDescent="0.25">
      <c r="A1579" s="61" t="s">
        <v>63</v>
      </c>
      <c r="B1579" s="65" t="s">
        <v>233</v>
      </c>
      <c r="C1579" s="167">
        <f>2+4</f>
        <v>6</v>
      </c>
      <c r="D1579" s="167">
        <f>C1579-G1579-H1579</f>
        <v>1</v>
      </c>
      <c r="E1579" s="66">
        <f>D1579-F1579</f>
        <v>0</v>
      </c>
      <c r="F1579" s="168">
        <v>1</v>
      </c>
      <c r="G1579" s="68">
        <f>0.5+0.5</f>
        <v>1</v>
      </c>
      <c r="H1579" s="68">
        <v>4</v>
      </c>
    </row>
    <row r="1580" spans="1:8" x14ac:dyDescent="0.25">
      <c r="A1580" s="61" t="s">
        <v>163</v>
      </c>
      <c r="B1580" s="65" t="s">
        <v>64</v>
      </c>
      <c r="C1580" s="167">
        <v>0.5</v>
      </c>
      <c r="D1580" s="167">
        <f>C1580-G1580-H1580</f>
        <v>0</v>
      </c>
      <c r="E1580" s="66">
        <f>D1580-F1580</f>
        <v>0</v>
      </c>
      <c r="F1580" s="168"/>
      <c r="G1580" s="68">
        <v>0.5</v>
      </c>
      <c r="H1580" s="68"/>
    </row>
    <row r="1581" spans="1:8" x14ac:dyDescent="0.25">
      <c r="A1581" s="61">
        <v>4</v>
      </c>
      <c r="B1581" s="65" t="s">
        <v>45</v>
      </c>
      <c r="C1581" s="167">
        <f>2+2-0.5</f>
        <v>3.5</v>
      </c>
      <c r="D1581" s="167">
        <f>C1581-G1581-H1581</f>
        <v>0</v>
      </c>
      <c r="E1581" s="66">
        <f>D1581-F1581</f>
        <v>0</v>
      </c>
      <c r="F1581" s="168">
        <v>0</v>
      </c>
      <c r="G1581" s="68">
        <v>1.5</v>
      </c>
      <c r="H1581" s="68">
        <v>2</v>
      </c>
    </row>
    <row r="1582" spans="1:8" x14ac:dyDescent="0.25">
      <c r="A1582" s="134"/>
      <c r="B1582" s="72" t="s">
        <v>54</v>
      </c>
      <c r="C1582" s="73">
        <f t="shared" ref="C1582:H1582" si="619">SUM(C1578:C1581)</f>
        <v>14</v>
      </c>
      <c r="D1582" s="73">
        <f t="shared" si="619"/>
        <v>2</v>
      </c>
      <c r="E1582" s="73">
        <f t="shared" si="619"/>
        <v>0</v>
      </c>
      <c r="F1582" s="74">
        <f t="shared" si="619"/>
        <v>2</v>
      </c>
      <c r="G1582" s="73">
        <f t="shared" si="619"/>
        <v>4</v>
      </c>
      <c r="H1582" s="73">
        <f t="shared" si="619"/>
        <v>8</v>
      </c>
    </row>
    <row r="1583" spans="1:8" x14ac:dyDescent="0.25">
      <c r="A1583" s="134"/>
      <c r="B1583" s="302" t="s">
        <v>356</v>
      </c>
      <c r="C1583" s="162"/>
      <c r="D1583" s="162"/>
      <c r="E1583" s="162"/>
      <c r="F1583" s="301"/>
      <c r="G1583" s="60"/>
      <c r="H1583" s="61"/>
    </row>
    <row r="1584" spans="1:8" x14ac:dyDescent="0.25">
      <c r="A1584" s="56">
        <v>1</v>
      </c>
      <c r="B1584" s="76" t="s">
        <v>229</v>
      </c>
      <c r="C1584" s="66">
        <v>2.5</v>
      </c>
      <c r="D1584" s="66">
        <f>C1584-G1584-H1584</f>
        <v>0.25</v>
      </c>
      <c r="E1584" s="66">
        <f>D1584-F1584</f>
        <v>0</v>
      </c>
      <c r="F1584" s="67">
        <v>0.25</v>
      </c>
      <c r="G1584" s="68">
        <f>0.5+1.25+0.5</f>
        <v>2.25</v>
      </c>
      <c r="H1584" s="68"/>
    </row>
    <row r="1585" spans="1:8" x14ac:dyDescent="0.25">
      <c r="A1585" s="56">
        <v>2</v>
      </c>
      <c r="B1585" s="76" t="s">
        <v>233</v>
      </c>
      <c r="C1585" s="66">
        <v>5</v>
      </c>
      <c r="D1585" s="66">
        <f>C1585-G1585-H1585</f>
        <v>1</v>
      </c>
      <c r="E1585" s="66">
        <f>D1585-F1585</f>
        <v>0</v>
      </c>
      <c r="F1585" s="67">
        <v>1</v>
      </c>
      <c r="G1585" s="68">
        <f>0.5+0.75+0.75+2</f>
        <v>4</v>
      </c>
      <c r="H1585" s="68"/>
    </row>
    <row r="1586" spans="1:8" x14ac:dyDescent="0.25">
      <c r="A1586" s="56">
        <v>3</v>
      </c>
      <c r="B1586" s="76" t="s">
        <v>45</v>
      </c>
      <c r="C1586" s="66">
        <f>3-1</f>
        <v>2</v>
      </c>
      <c r="D1586" s="66">
        <f>C1586-G1586-H1586</f>
        <v>0.5</v>
      </c>
      <c r="E1586" s="66">
        <f>D1586-F1586</f>
        <v>0</v>
      </c>
      <c r="F1586" s="67">
        <v>0.5</v>
      </c>
      <c r="G1586" s="68">
        <f>0.5+1</f>
        <v>1.5</v>
      </c>
      <c r="H1586" s="68"/>
    </row>
    <row r="1587" spans="1:8" x14ac:dyDescent="0.25">
      <c r="A1587" s="134"/>
      <c r="B1587" s="72" t="s">
        <v>357</v>
      </c>
      <c r="C1587" s="73">
        <f t="shared" ref="C1587:H1587" si="620">SUM(C1584:C1586)</f>
        <v>9.5</v>
      </c>
      <c r="D1587" s="73">
        <f t="shared" si="620"/>
        <v>1.75</v>
      </c>
      <c r="E1587" s="73">
        <f t="shared" si="620"/>
        <v>0</v>
      </c>
      <c r="F1587" s="74">
        <f t="shared" si="620"/>
        <v>1.75</v>
      </c>
      <c r="G1587" s="73">
        <f t="shared" si="620"/>
        <v>7.75</v>
      </c>
      <c r="H1587" s="73">
        <f t="shared" si="620"/>
        <v>0</v>
      </c>
    </row>
    <row r="1588" spans="1:8" x14ac:dyDescent="0.25">
      <c r="A1588" s="134"/>
      <c r="B1588" s="72"/>
      <c r="C1588" s="73"/>
      <c r="D1588" s="73"/>
      <c r="E1588" s="73"/>
      <c r="F1588" s="74"/>
      <c r="G1588" s="73"/>
      <c r="H1588" s="61"/>
    </row>
    <row r="1589" spans="1:8" x14ac:dyDescent="0.25">
      <c r="A1589" s="61"/>
      <c r="B1589" s="289" t="s">
        <v>627</v>
      </c>
      <c r="C1589" s="73">
        <f t="shared" ref="C1589:H1589" si="621">C1587+C1582++C1576+C1571+C1566</f>
        <v>62.75</v>
      </c>
      <c r="D1589" s="73">
        <f t="shared" si="621"/>
        <v>11.75</v>
      </c>
      <c r="E1589" s="73">
        <f t="shared" si="621"/>
        <v>0</v>
      </c>
      <c r="F1589" s="74">
        <f t="shared" si="621"/>
        <v>11.75</v>
      </c>
      <c r="G1589" s="73">
        <f t="shared" si="621"/>
        <v>43</v>
      </c>
      <c r="H1589" s="73">
        <f t="shared" si="621"/>
        <v>8</v>
      </c>
    </row>
    <row r="1590" spans="1:8" x14ac:dyDescent="0.25">
      <c r="A1590" s="61"/>
      <c r="B1590" s="72"/>
      <c r="C1590" s="83">
        <f t="shared" ref="C1590:H1590" si="622">SUM(C1591:C1593)</f>
        <v>62.75</v>
      </c>
      <c r="D1590" s="83">
        <f t="shared" si="622"/>
        <v>11.75</v>
      </c>
      <c r="E1590" s="83">
        <f t="shared" si="622"/>
        <v>0</v>
      </c>
      <c r="F1590" s="84">
        <f t="shared" si="622"/>
        <v>11.75</v>
      </c>
      <c r="G1590" s="83">
        <f t="shared" si="622"/>
        <v>43</v>
      </c>
      <c r="H1590" s="83">
        <f t="shared" si="622"/>
        <v>8</v>
      </c>
    </row>
    <row r="1591" spans="1:8" x14ac:dyDescent="0.25">
      <c r="A1591" s="61"/>
      <c r="B1591" s="82" t="s">
        <v>277</v>
      </c>
      <c r="C1591" s="73">
        <f t="shared" ref="C1591:H1591" si="623">C1584+C1578+C1573+C1568+C1561+C1560</f>
        <v>19.25</v>
      </c>
      <c r="D1591" s="73">
        <f t="shared" si="623"/>
        <v>4</v>
      </c>
      <c r="E1591" s="73">
        <f t="shared" si="623"/>
        <v>0</v>
      </c>
      <c r="F1591" s="74">
        <f t="shared" si="623"/>
        <v>4</v>
      </c>
      <c r="G1591" s="73">
        <f t="shared" si="623"/>
        <v>13.25</v>
      </c>
      <c r="H1591" s="73">
        <f t="shared" si="623"/>
        <v>2</v>
      </c>
    </row>
    <row r="1592" spans="1:8" x14ac:dyDescent="0.25">
      <c r="A1592" s="61"/>
      <c r="B1592" s="82" t="s">
        <v>29</v>
      </c>
      <c r="C1592" s="73">
        <f t="shared" ref="C1592:H1592" si="624">C1585+C1579+C1580+C1574+C1569+C1563+C1562</f>
        <v>28.5</v>
      </c>
      <c r="D1592" s="73">
        <f t="shared" si="624"/>
        <v>5.5</v>
      </c>
      <c r="E1592" s="73">
        <f t="shared" si="624"/>
        <v>0</v>
      </c>
      <c r="F1592" s="74">
        <f t="shared" si="624"/>
        <v>5.5</v>
      </c>
      <c r="G1592" s="73">
        <f t="shared" si="624"/>
        <v>19</v>
      </c>
      <c r="H1592" s="73">
        <f t="shared" si="624"/>
        <v>4</v>
      </c>
    </row>
    <row r="1593" spans="1:8" x14ac:dyDescent="0.25">
      <c r="A1593" s="134"/>
      <c r="B1593" s="82" t="s">
        <v>262</v>
      </c>
      <c r="C1593" s="73">
        <f t="shared" ref="C1593:H1593" si="625">C1586+C1581+C1575+C1570+C1565+C1564</f>
        <v>15</v>
      </c>
      <c r="D1593" s="73">
        <f t="shared" si="625"/>
        <v>2.25</v>
      </c>
      <c r="E1593" s="73">
        <f t="shared" si="625"/>
        <v>0</v>
      </c>
      <c r="F1593" s="74">
        <f t="shared" si="625"/>
        <v>2.25</v>
      </c>
      <c r="G1593" s="73">
        <f t="shared" si="625"/>
        <v>10.75</v>
      </c>
      <c r="H1593" s="73">
        <f t="shared" si="625"/>
        <v>2</v>
      </c>
    </row>
    <row r="1594" spans="1:8" x14ac:dyDescent="0.25">
      <c r="A1594" s="134"/>
      <c r="B1594" s="303" t="s">
        <v>358</v>
      </c>
      <c r="C1594" s="139">
        <f t="shared" ref="C1594:H1594" si="626">C1589+C1554+C1542+C1535</f>
        <v>113.75</v>
      </c>
      <c r="D1594" s="139">
        <f t="shared" si="626"/>
        <v>26.75</v>
      </c>
      <c r="E1594" s="139">
        <f t="shared" si="626"/>
        <v>0</v>
      </c>
      <c r="F1594" s="154">
        <f t="shared" si="626"/>
        <v>26.75</v>
      </c>
      <c r="G1594" s="139">
        <f t="shared" si="626"/>
        <v>78.5</v>
      </c>
      <c r="H1594" s="139">
        <f t="shared" si="626"/>
        <v>8.5</v>
      </c>
    </row>
    <row r="1595" spans="1:8" x14ac:dyDescent="0.25">
      <c r="A1595" s="134"/>
      <c r="B1595" s="157" t="s">
        <v>131</v>
      </c>
      <c r="C1595" s="155">
        <f t="shared" ref="C1595:H1595" si="627">SUM(C1596:C1598)</f>
        <v>113.75</v>
      </c>
      <c r="D1595" s="155">
        <f t="shared" si="627"/>
        <v>26.75</v>
      </c>
      <c r="E1595" s="155">
        <f t="shared" si="627"/>
        <v>0</v>
      </c>
      <c r="F1595" s="156">
        <f t="shared" si="627"/>
        <v>26.75</v>
      </c>
      <c r="G1595" s="155">
        <f t="shared" si="627"/>
        <v>78.5</v>
      </c>
      <c r="H1595" s="155">
        <f t="shared" si="627"/>
        <v>8.5</v>
      </c>
    </row>
    <row r="1596" spans="1:8" x14ac:dyDescent="0.25">
      <c r="A1596" s="134"/>
      <c r="B1596" s="157" t="s">
        <v>28</v>
      </c>
      <c r="C1596" s="139">
        <f t="shared" ref="C1596:H1596" si="628">C1591+C1556+C1544+C1532+C1533</f>
        <v>46.25</v>
      </c>
      <c r="D1596" s="139">
        <f t="shared" si="628"/>
        <v>14</v>
      </c>
      <c r="E1596" s="139">
        <f t="shared" si="628"/>
        <v>0</v>
      </c>
      <c r="F1596" s="154">
        <f t="shared" si="628"/>
        <v>14</v>
      </c>
      <c r="G1596" s="139">
        <f t="shared" si="628"/>
        <v>29.75</v>
      </c>
      <c r="H1596" s="139">
        <f t="shared" si="628"/>
        <v>2.5</v>
      </c>
    </row>
    <row r="1597" spans="1:8" x14ac:dyDescent="0.25">
      <c r="A1597" s="134"/>
      <c r="B1597" s="157" t="s">
        <v>29</v>
      </c>
      <c r="C1597" s="139">
        <f t="shared" ref="C1597:H1597" si="629">C1592+C1557+C1545+C1534</f>
        <v>42.5</v>
      </c>
      <c r="D1597" s="139">
        <f t="shared" si="629"/>
        <v>10</v>
      </c>
      <c r="E1597" s="139">
        <f t="shared" si="629"/>
        <v>0</v>
      </c>
      <c r="F1597" s="154">
        <f t="shared" si="629"/>
        <v>10</v>
      </c>
      <c r="G1597" s="139">
        <f t="shared" si="629"/>
        <v>28.5</v>
      </c>
      <c r="H1597" s="139">
        <f t="shared" si="629"/>
        <v>4</v>
      </c>
    </row>
    <row r="1598" spans="1:8" x14ac:dyDescent="0.25">
      <c r="A1598" s="134"/>
      <c r="B1598" s="157" t="s">
        <v>262</v>
      </c>
      <c r="C1598" s="139">
        <f t="shared" ref="C1598:H1598" si="630">C1593+C1558+C1546</f>
        <v>25</v>
      </c>
      <c r="D1598" s="139">
        <f t="shared" si="630"/>
        <v>2.75</v>
      </c>
      <c r="E1598" s="139">
        <f t="shared" si="630"/>
        <v>0</v>
      </c>
      <c r="F1598" s="154">
        <f t="shared" si="630"/>
        <v>2.75</v>
      </c>
      <c r="G1598" s="139">
        <f t="shared" si="630"/>
        <v>20.25</v>
      </c>
      <c r="H1598" s="139">
        <f t="shared" si="630"/>
        <v>2</v>
      </c>
    </row>
    <row r="1599" spans="1:8" x14ac:dyDescent="0.25">
      <c r="A1599" s="61"/>
      <c r="B1599" s="62" t="s">
        <v>628</v>
      </c>
      <c r="C1599" s="73"/>
      <c r="D1599" s="73"/>
      <c r="E1599" s="73"/>
      <c r="F1599" s="74"/>
      <c r="G1599" s="60"/>
      <c r="H1599" s="68"/>
    </row>
    <row r="1600" spans="1:8" ht="26.25" x14ac:dyDescent="0.25">
      <c r="A1600" s="56">
        <v>1</v>
      </c>
      <c r="B1600" s="88" t="s">
        <v>359</v>
      </c>
      <c r="C1600" s="66">
        <v>1</v>
      </c>
      <c r="D1600" s="66">
        <f t="shared" ref="D1600:D1606" si="631">C1600-G1600-H1600</f>
        <v>0.5</v>
      </c>
      <c r="E1600" s="66">
        <f t="shared" ref="E1600:E1606" si="632">D1600-F1600</f>
        <v>0</v>
      </c>
      <c r="F1600" s="67">
        <v>0.5</v>
      </c>
      <c r="G1600" s="68">
        <f>0.25+0.25</f>
        <v>0.5</v>
      </c>
      <c r="H1600" s="68"/>
    </row>
    <row r="1601" spans="1:8" ht="15.6" customHeight="1" x14ac:dyDescent="0.25">
      <c r="A1601" s="56">
        <v>2</v>
      </c>
      <c r="B1601" s="88" t="s">
        <v>360</v>
      </c>
      <c r="C1601" s="66">
        <f>17.5+1+1-1+0.5</f>
        <v>19</v>
      </c>
      <c r="D1601" s="66">
        <f t="shared" si="631"/>
        <v>8.75</v>
      </c>
      <c r="E1601" s="66">
        <f t="shared" si="632"/>
        <v>0</v>
      </c>
      <c r="F1601" s="67">
        <v>8.75</v>
      </c>
      <c r="G1601" s="68">
        <f>0.25+0.25+0.5+0.25+0.25+3.5+1.5+3.25+0.5-0.5</f>
        <v>9.75</v>
      </c>
      <c r="H1601" s="68">
        <v>0.5</v>
      </c>
    </row>
    <row r="1602" spans="1:8" x14ac:dyDescent="0.25">
      <c r="A1602" s="56">
        <v>3</v>
      </c>
      <c r="B1602" s="76" t="s">
        <v>244</v>
      </c>
      <c r="C1602" s="66">
        <f>44+0.5</f>
        <v>44.5</v>
      </c>
      <c r="D1602" s="66">
        <f t="shared" si="631"/>
        <v>18</v>
      </c>
      <c r="E1602" s="66">
        <f t="shared" si="632"/>
        <v>0</v>
      </c>
      <c r="F1602" s="67">
        <v>18</v>
      </c>
      <c r="G1602" s="68">
        <f>0.25+0.5+0.25+10.25+6.25+0.5+8.5</f>
        <v>26.5</v>
      </c>
      <c r="H1602" s="68"/>
    </row>
    <row r="1603" spans="1:8" x14ac:dyDescent="0.25">
      <c r="A1603" s="56">
        <v>4</v>
      </c>
      <c r="B1603" s="76" t="s">
        <v>629</v>
      </c>
      <c r="C1603" s="66">
        <v>1</v>
      </c>
      <c r="D1603" s="66">
        <f t="shared" si="631"/>
        <v>0.5</v>
      </c>
      <c r="E1603" s="66">
        <f t="shared" si="632"/>
        <v>0</v>
      </c>
      <c r="F1603" s="67">
        <v>0.5</v>
      </c>
      <c r="G1603" s="68">
        <f>0.25+0.25</f>
        <v>0.5</v>
      </c>
      <c r="H1603" s="68"/>
    </row>
    <row r="1604" spans="1:8" x14ac:dyDescent="0.25">
      <c r="A1604" s="56">
        <v>5</v>
      </c>
      <c r="B1604" s="76" t="s">
        <v>64</v>
      </c>
      <c r="C1604" s="66">
        <v>1</v>
      </c>
      <c r="D1604" s="66">
        <f t="shared" si="631"/>
        <v>0</v>
      </c>
      <c r="E1604" s="66">
        <f t="shared" si="632"/>
        <v>0</v>
      </c>
      <c r="F1604" s="67"/>
      <c r="G1604" s="68">
        <f>0.25+0.75</f>
        <v>1</v>
      </c>
      <c r="H1604" s="68"/>
    </row>
    <row r="1605" spans="1:8" x14ac:dyDescent="0.25">
      <c r="A1605" s="56">
        <v>6</v>
      </c>
      <c r="B1605" s="76" t="s">
        <v>45</v>
      </c>
      <c r="C1605" s="66">
        <v>8</v>
      </c>
      <c r="D1605" s="66">
        <f t="shared" si="631"/>
        <v>2</v>
      </c>
      <c r="E1605" s="66">
        <f t="shared" si="632"/>
        <v>0</v>
      </c>
      <c r="F1605" s="67">
        <v>2</v>
      </c>
      <c r="G1605" s="68">
        <f>1+1+2.25+1.75</f>
        <v>6</v>
      </c>
      <c r="H1605" s="68"/>
    </row>
    <row r="1606" spans="1:8" x14ac:dyDescent="0.25">
      <c r="A1606" s="56">
        <v>7</v>
      </c>
      <c r="B1606" s="76" t="s">
        <v>224</v>
      </c>
      <c r="C1606" s="66">
        <f>4-1-1+1</f>
        <v>3</v>
      </c>
      <c r="D1606" s="66">
        <f t="shared" si="631"/>
        <v>0</v>
      </c>
      <c r="E1606" s="66">
        <f t="shared" si="632"/>
        <v>0</v>
      </c>
      <c r="F1606" s="67"/>
      <c r="G1606" s="68">
        <f>0.75-0.25+0.25+2.25</f>
        <v>3</v>
      </c>
      <c r="H1606" s="68"/>
    </row>
    <row r="1607" spans="1:8" x14ac:dyDescent="0.25">
      <c r="A1607" s="304"/>
      <c r="B1607" s="305" t="s">
        <v>361</v>
      </c>
      <c r="C1607" s="139">
        <f t="shared" ref="C1607:H1607" si="633">SUM(C1600:C1606)</f>
        <v>77.5</v>
      </c>
      <c r="D1607" s="139">
        <f t="shared" si="633"/>
        <v>29.75</v>
      </c>
      <c r="E1607" s="139">
        <f t="shared" si="633"/>
        <v>0</v>
      </c>
      <c r="F1607" s="154">
        <f t="shared" si="633"/>
        <v>29.75</v>
      </c>
      <c r="G1607" s="139">
        <f t="shared" si="633"/>
        <v>47.25</v>
      </c>
      <c r="H1607" s="139">
        <f t="shared" si="633"/>
        <v>0.5</v>
      </c>
    </row>
    <row r="1608" spans="1:8" x14ac:dyDescent="0.25">
      <c r="A1608" s="304"/>
      <c r="B1608" s="305"/>
      <c r="C1608" s="66">
        <f t="shared" ref="C1608:H1608" si="634">SUM(C1609:C1612)</f>
        <v>77.5</v>
      </c>
      <c r="D1608" s="66">
        <f t="shared" si="634"/>
        <v>29.75</v>
      </c>
      <c r="E1608" s="66">
        <f t="shared" si="634"/>
        <v>0</v>
      </c>
      <c r="F1608" s="67">
        <f t="shared" si="634"/>
        <v>29.75</v>
      </c>
      <c r="G1608" s="66">
        <f t="shared" si="634"/>
        <v>47.25</v>
      </c>
      <c r="H1608" s="66">
        <f t="shared" si="634"/>
        <v>0.5</v>
      </c>
    </row>
    <row r="1609" spans="1:8" x14ac:dyDescent="0.25">
      <c r="A1609" s="304"/>
      <c r="B1609" s="157" t="s">
        <v>277</v>
      </c>
      <c r="C1609" s="139">
        <f t="shared" ref="C1609:H1609" si="635">SUM(C1600:C1601)</f>
        <v>20</v>
      </c>
      <c r="D1609" s="139">
        <f t="shared" si="635"/>
        <v>9.25</v>
      </c>
      <c r="E1609" s="139">
        <f t="shared" si="635"/>
        <v>0</v>
      </c>
      <c r="F1609" s="154">
        <f t="shared" si="635"/>
        <v>9.25</v>
      </c>
      <c r="G1609" s="139">
        <f t="shared" si="635"/>
        <v>10.25</v>
      </c>
      <c r="H1609" s="139">
        <f t="shared" si="635"/>
        <v>0.5</v>
      </c>
    </row>
    <row r="1610" spans="1:8" x14ac:dyDescent="0.25">
      <c r="A1610" s="304"/>
      <c r="B1610" s="157" t="s">
        <v>29</v>
      </c>
      <c r="C1610" s="139">
        <f t="shared" ref="C1610:H1610" si="636">SUM(C1602:C1604)</f>
        <v>46.5</v>
      </c>
      <c r="D1610" s="139">
        <f t="shared" si="636"/>
        <v>18.5</v>
      </c>
      <c r="E1610" s="139">
        <f t="shared" si="636"/>
        <v>0</v>
      </c>
      <c r="F1610" s="154">
        <f t="shared" si="636"/>
        <v>18.5</v>
      </c>
      <c r="G1610" s="139">
        <f t="shared" si="636"/>
        <v>28</v>
      </c>
      <c r="H1610" s="139">
        <f t="shared" si="636"/>
        <v>0</v>
      </c>
    </row>
    <row r="1611" spans="1:8" x14ac:dyDescent="0.25">
      <c r="A1611" s="304"/>
      <c r="B1611" s="157" t="s">
        <v>262</v>
      </c>
      <c r="C1611" s="139">
        <f t="shared" ref="C1611:H1611" si="637">SUM(C1605)</f>
        <v>8</v>
      </c>
      <c r="D1611" s="139">
        <f t="shared" si="637"/>
        <v>2</v>
      </c>
      <c r="E1611" s="139">
        <f t="shared" si="637"/>
        <v>0</v>
      </c>
      <c r="F1611" s="154">
        <f t="shared" si="637"/>
        <v>2</v>
      </c>
      <c r="G1611" s="139">
        <f t="shared" si="637"/>
        <v>6</v>
      </c>
      <c r="H1611" s="139">
        <f t="shared" si="637"/>
        <v>0</v>
      </c>
    </row>
    <row r="1612" spans="1:8" x14ac:dyDescent="0.25">
      <c r="A1612" s="304"/>
      <c r="B1612" s="157" t="s">
        <v>30</v>
      </c>
      <c r="C1612" s="139">
        <f t="shared" ref="C1612:H1612" si="638">C1606</f>
        <v>3</v>
      </c>
      <c r="D1612" s="139">
        <f t="shared" si="638"/>
        <v>0</v>
      </c>
      <c r="E1612" s="139">
        <f t="shared" si="638"/>
        <v>0</v>
      </c>
      <c r="F1612" s="154">
        <f t="shared" si="638"/>
        <v>0</v>
      </c>
      <c r="G1612" s="139">
        <f t="shared" si="638"/>
        <v>3</v>
      </c>
      <c r="H1612" s="139">
        <f t="shared" si="638"/>
        <v>0</v>
      </c>
    </row>
    <row r="1613" spans="1:8" ht="15.75" x14ac:dyDescent="0.25">
      <c r="A1613" s="61"/>
      <c r="B1613" s="221" t="s">
        <v>362</v>
      </c>
      <c r="C1613" s="73"/>
      <c r="D1613" s="73"/>
      <c r="E1613" s="73"/>
      <c r="F1613" s="74"/>
      <c r="G1613" s="60"/>
      <c r="H1613" s="61"/>
    </row>
    <row r="1614" spans="1:8" x14ac:dyDescent="0.25">
      <c r="A1614" s="36">
        <v>1</v>
      </c>
      <c r="B1614" s="103" t="s">
        <v>363</v>
      </c>
      <c r="C1614" s="66">
        <v>1</v>
      </c>
      <c r="D1614" s="66">
        <f t="shared" ref="D1614:D1621" si="639">C1614-G1614-H1614</f>
        <v>1</v>
      </c>
      <c r="E1614" s="66">
        <f t="shared" ref="E1614:E1621" si="640">D1614-F1614</f>
        <v>1</v>
      </c>
      <c r="F1614" s="67"/>
      <c r="G1614" s="61"/>
      <c r="H1614" s="68"/>
    </row>
    <row r="1615" spans="1:8" x14ac:dyDescent="0.25">
      <c r="A1615" s="36">
        <v>2</v>
      </c>
      <c r="B1615" s="86" t="s">
        <v>364</v>
      </c>
      <c r="C1615" s="66">
        <v>1</v>
      </c>
      <c r="D1615" s="66">
        <f t="shared" si="639"/>
        <v>0.75</v>
      </c>
      <c r="E1615" s="66">
        <f t="shared" si="640"/>
        <v>0.75</v>
      </c>
      <c r="F1615" s="67"/>
      <c r="G1615" s="61">
        <v>0.25</v>
      </c>
      <c r="H1615" s="68"/>
    </row>
    <row r="1616" spans="1:8" x14ac:dyDescent="0.25">
      <c r="A1616" s="36">
        <v>3</v>
      </c>
      <c r="B1616" s="76" t="s">
        <v>365</v>
      </c>
      <c r="C1616" s="66">
        <v>4</v>
      </c>
      <c r="D1616" s="66">
        <f t="shared" si="639"/>
        <v>3</v>
      </c>
      <c r="E1616" s="66">
        <f t="shared" si="640"/>
        <v>3</v>
      </c>
      <c r="F1616" s="67"/>
      <c r="G1616" s="68">
        <v>1</v>
      </c>
      <c r="H1616" s="68"/>
    </row>
    <row r="1617" spans="1:8" x14ac:dyDescent="0.25">
      <c r="A1617" s="36">
        <v>4</v>
      </c>
      <c r="B1617" s="76" t="s">
        <v>366</v>
      </c>
      <c r="C1617" s="66">
        <f>1-1+1</f>
        <v>1</v>
      </c>
      <c r="D1617" s="66">
        <f t="shared" si="639"/>
        <v>0.75</v>
      </c>
      <c r="E1617" s="66">
        <f t="shared" si="640"/>
        <v>0.75</v>
      </c>
      <c r="F1617" s="67"/>
      <c r="G1617" s="61">
        <v>0.25</v>
      </c>
      <c r="H1617" s="68"/>
    </row>
    <row r="1618" spans="1:8" x14ac:dyDescent="0.25">
      <c r="A1618" s="36">
        <v>5</v>
      </c>
      <c r="B1618" s="76" t="s">
        <v>630</v>
      </c>
      <c r="C1618" s="66">
        <f>12+1-1</f>
        <v>12</v>
      </c>
      <c r="D1618" s="66">
        <f t="shared" si="639"/>
        <v>9</v>
      </c>
      <c r="E1618" s="66">
        <f t="shared" si="640"/>
        <v>9</v>
      </c>
      <c r="F1618" s="67"/>
      <c r="G1618" s="68">
        <f>2.5+0.25+0.25</f>
        <v>3</v>
      </c>
      <c r="H1618" s="68"/>
    </row>
    <row r="1619" spans="1:8" x14ac:dyDescent="0.25">
      <c r="A1619" s="36">
        <v>6</v>
      </c>
      <c r="B1619" s="76" t="s">
        <v>45</v>
      </c>
      <c r="C1619" s="66">
        <v>4</v>
      </c>
      <c r="D1619" s="66">
        <f t="shared" si="639"/>
        <v>3.75</v>
      </c>
      <c r="E1619" s="66">
        <f t="shared" si="640"/>
        <v>3.75</v>
      </c>
      <c r="F1619" s="67"/>
      <c r="G1619" s="61">
        <v>0.25</v>
      </c>
      <c r="H1619" s="68"/>
    </row>
    <row r="1620" spans="1:8" x14ac:dyDescent="0.25">
      <c r="A1620" s="36">
        <v>7</v>
      </c>
      <c r="B1620" s="76" t="s">
        <v>299</v>
      </c>
      <c r="C1620" s="66">
        <v>1</v>
      </c>
      <c r="D1620" s="66">
        <f t="shared" si="639"/>
        <v>1</v>
      </c>
      <c r="E1620" s="66">
        <f t="shared" si="640"/>
        <v>1</v>
      </c>
      <c r="F1620" s="67"/>
      <c r="G1620" s="61"/>
      <c r="H1620" s="68"/>
    </row>
    <row r="1621" spans="1:8" x14ac:dyDescent="0.25">
      <c r="A1621" s="61">
        <v>8</v>
      </c>
      <c r="B1621" s="76" t="s">
        <v>367</v>
      </c>
      <c r="C1621" s="66">
        <f>3-1</f>
        <v>2</v>
      </c>
      <c r="D1621" s="66">
        <f t="shared" si="639"/>
        <v>1.75</v>
      </c>
      <c r="E1621" s="66">
        <f t="shared" si="640"/>
        <v>1.75</v>
      </c>
      <c r="F1621" s="67"/>
      <c r="G1621" s="61">
        <v>0.25</v>
      </c>
      <c r="H1621" s="68"/>
    </row>
    <row r="1622" spans="1:8" x14ac:dyDescent="0.25">
      <c r="A1622" s="123"/>
      <c r="B1622" s="303" t="s">
        <v>368</v>
      </c>
      <c r="C1622" s="139">
        <f t="shared" ref="C1622:H1622" si="641">SUM(C1614:C1621)</f>
        <v>26</v>
      </c>
      <c r="D1622" s="139">
        <f t="shared" si="641"/>
        <v>21</v>
      </c>
      <c r="E1622" s="139">
        <f t="shared" si="641"/>
        <v>21</v>
      </c>
      <c r="F1622" s="154">
        <f t="shared" si="641"/>
        <v>0</v>
      </c>
      <c r="G1622" s="139">
        <f t="shared" si="641"/>
        <v>5</v>
      </c>
      <c r="H1622" s="139">
        <f t="shared" si="641"/>
        <v>0</v>
      </c>
    </row>
    <row r="1623" spans="1:8" x14ac:dyDescent="0.25">
      <c r="A1623" s="61"/>
      <c r="B1623" s="306" t="s">
        <v>131</v>
      </c>
      <c r="C1623" s="83">
        <f t="shared" ref="C1623:H1623" si="642">SUM(C1624:C1627)</f>
        <v>26</v>
      </c>
      <c r="D1623" s="83">
        <f t="shared" si="642"/>
        <v>21</v>
      </c>
      <c r="E1623" s="83">
        <f t="shared" si="642"/>
        <v>21</v>
      </c>
      <c r="F1623" s="84">
        <f t="shared" si="642"/>
        <v>0</v>
      </c>
      <c r="G1623" s="83">
        <f t="shared" si="642"/>
        <v>5</v>
      </c>
      <c r="H1623" s="83">
        <f t="shared" si="642"/>
        <v>0</v>
      </c>
    </row>
    <row r="1624" spans="1:8" x14ac:dyDescent="0.25">
      <c r="A1624" s="123"/>
      <c r="B1624" s="157" t="s">
        <v>631</v>
      </c>
      <c r="C1624" s="139">
        <f t="shared" ref="C1624:H1624" si="643">SUM(C1614:C1617)-C1615</f>
        <v>6</v>
      </c>
      <c r="D1624" s="139">
        <f t="shared" si="643"/>
        <v>4.75</v>
      </c>
      <c r="E1624" s="139">
        <f t="shared" si="643"/>
        <v>4.75</v>
      </c>
      <c r="F1624" s="154">
        <f t="shared" si="643"/>
        <v>0</v>
      </c>
      <c r="G1624" s="139">
        <f t="shared" si="643"/>
        <v>1.25</v>
      </c>
      <c r="H1624" s="139">
        <f t="shared" si="643"/>
        <v>0</v>
      </c>
    </row>
    <row r="1625" spans="1:8" x14ac:dyDescent="0.25">
      <c r="A1625" s="123"/>
      <c r="B1625" s="157" t="s">
        <v>630</v>
      </c>
      <c r="C1625" s="139">
        <f t="shared" ref="C1625:H1625" si="644">SUM(C1618+C1615)</f>
        <v>13</v>
      </c>
      <c r="D1625" s="139">
        <f t="shared" si="644"/>
        <v>9.75</v>
      </c>
      <c r="E1625" s="139">
        <f t="shared" si="644"/>
        <v>9.75</v>
      </c>
      <c r="F1625" s="154">
        <f t="shared" si="644"/>
        <v>0</v>
      </c>
      <c r="G1625" s="139">
        <f t="shared" si="644"/>
        <v>3.25</v>
      </c>
      <c r="H1625" s="139">
        <f t="shared" si="644"/>
        <v>0</v>
      </c>
    </row>
    <row r="1626" spans="1:8" x14ac:dyDescent="0.25">
      <c r="A1626" s="123"/>
      <c r="B1626" s="157" t="s">
        <v>369</v>
      </c>
      <c r="C1626" s="139">
        <f t="shared" ref="C1626:H1626" si="645">SUM(C1619:C1619)</f>
        <v>4</v>
      </c>
      <c r="D1626" s="139">
        <f t="shared" si="645"/>
        <v>3.75</v>
      </c>
      <c r="E1626" s="139">
        <f t="shared" si="645"/>
        <v>3.75</v>
      </c>
      <c r="F1626" s="154">
        <f t="shared" si="645"/>
        <v>0</v>
      </c>
      <c r="G1626" s="139">
        <f t="shared" si="645"/>
        <v>0.25</v>
      </c>
      <c r="H1626" s="139">
        <f t="shared" si="645"/>
        <v>0</v>
      </c>
    </row>
    <row r="1627" spans="1:8" x14ac:dyDescent="0.25">
      <c r="A1627" s="123"/>
      <c r="B1627" s="157" t="s">
        <v>114</v>
      </c>
      <c r="C1627" s="139">
        <f t="shared" ref="C1627:H1627" si="646">C1621+C1620</f>
        <v>3</v>
      </c>
      <c r="D1627" s="139">
        <f t="shared" si="646"/>
        <v>2.75</v>
      </c>
      <c r="E1627" s="139">
        <f t="shared" si="646"/>
        <v>2.75</v>
      </c>
      <c r="F1627" s="154">
        <f t="shared" si="646"/>
        <v>0</v>
      </c>
      <c r="G1627" s="139">
        <f t="shared" si="646"/>
        <v>0.25</v>
      </c>
      <c r="H1627" s="139">
        <f t="shared" si="646"/>
        <v>0</v>
      </c>
    </row>
    <row r="1628" spans="1:8" x14ac:dyDescent="0.25">
      <c r="A1628" s="123"/>
      <c r="B1628" s="99"/>
      <c r="C1628" s="94"/>
      <c r="D1628" s="94"/>
      <c r="E1628" s="94"/>
      <c r="F1628" s="95"/>
      <c r="G1628" s="60"/>
      <c r="H1628" s="61"/>
    </row>
    <row r="1629" spans="1:8" ht="15.75" x14ac:dyDescent="0.25">
      <c r="A1629" s="61"/>
      <c r="B1629" s="307" t="s">
        <v>370</v>
      </c>
      <c r="C1629" s="68"/>
      <c r="D1629" s="68"/>
      <c r="E1629" s="68"/>
      <c r="F1629" s="71"/>
      <c r="G1629" s="60"/>
      <c r="H1629" s="61"/>
    </row>
    <row r="1630" spans="1:8" x14ac:dyDescent="0.25">
      <c r="A1630" s="61"/>
      <c r="B1630" s="33" t="s">
        <v>14</v>
      </c>
      <c r="C1630" s="68"/>
      <c r="D1630" s="68"/>
      <c r="E1630" s="68"/>
      <c r="F1630" s="71"/>
      <c r="G1630" s="60"/>
      <c r="H1630" s="61"/>
    </row>
    <row r="1631" spans="1:8" ht="26.25" x14ac:dyDescent="0.25">
      <c r="A1631" s="56">
        <v>1</v>
      </c>
      <c r="B1631" s="88" t="s">
        <v>371</v>
      </c>
      <c r="C1631" s="66">
        <v>1</v>
      </c>
      <c r="D1631" s="66">
        <f t="shared" ref="D1631:D1641" si="647">C1631-G1631-H1631</f>
        <v>1</v>
      </c>
      <c r="E1631" s="66">
        <f t="shared" ref="E1631:E1641" si="648">D1631-F1631</f>
        <v>1</v>
      </c>
      <c r="F1631" s="67"/>
      <c r="G1631" s="60"/>
      <c r="H1631" s="68"/>
    </row>
    <row r="1632" spans="1:8" ht="26.25" x14ac:dyDescent="0.25">
      <c r="A1632" s="56">
        <v>2</v>
      </c>
      <c r="B1632" s="88" t="s">
        <v>372</v>
      </c>
      <c r="C1632" s="66">
        <v>1</v>
      </c>
      <c r="D1632" s="66">
        <f t="shared" si="647"/>
        <v>1</v>
      </c>
      <c r="E1632" s="66">
        <f t="shared" si="648"/>
        <v>1</v>
      </c>
      <c r="F1632" s="67"/>
      <c r="G1632" s="60"/>
      <c r="H1632" s="68"/>
    </row>
    <row r="1633" spans="1:8" ht="26.25" x14ac:dyDescent="0.25">
      <c r="A1633" s="56">
        <v>3</v>
      </c>
      <c r="B1633" s="88" t="s">
        <v>373</v>
      </c>
      <c r="C1633" s="66">
        <f>1-1</f>
        <v>0</v>
      </c>
      <c r="D1633" s="66">
        <f t="shared" si="647"/>
        <v>0</v>
      </c>
      <c r="E1633" s="66">
        <f t="shared" si="648"/>
        <v>0</v>
      </c>
      <c r="F1633" s="67"/>
      <c r="G1633" s="60"/>
      <c r="H1633" s="68"/>
    </row>
    <row r="1634" spans="1:8" ht="26.25" x14ac:dyDescent="0.25">
      <c r="A1634" s="56">
        <v>4</v>
      </c>
      <c r="B1634" s="88" t="s">
        <v>374</v>
      </c>
      <c r="C1634" s="66">
        <v>1</v>
      </c>
      <c r="D1634" s="66">
        <f t="shared" si="647"/>
        <v>0.75</v>
      </c>
      <c r="E1634" s="66">
        <f t="shared" si="648"/>
        <v>0.75</v>
      </c>
      <c r="F1634" s="67"/>
      <c r="G1634" s="61">
        <v>0.25</v>
      </c>
      <c r="H1634" s="68"/>
    </row>
    <row r="1635" spans="1:8" x14ac:dyDescent="0.25">
      <c r="A1635" s="56">
        <v>5</v>
      </c>
      <c r="B1635" s="76" t="s">
        <v>375</v>
      </c>
      <c r="C1635" s="66">
        <v>1</v>
      </c>
      <c r="D1635" s="66">
        <f t="shared" si="647"/>
        <v>0.75</v>
      </c>
      <c r="E1635" s="66">
        <f t="shared" si="648"/>
        <v>0.75</v>
      </c>
      <c r="F1635" s="67"/>
      <c r="G1635" s="61">
        <v>0.25</v>
      </c>
      <c r="H1635" s="68"/>
    </row>
    <row r="1636" spans="1:8" x14ac:dyDescent="0.25">
      <c r="A1636" s="56">
        <v>6</v>
      </c>
      <c r="B1636" s="76" t="s">
        <v>489</v>
      </c>
      <c r="C1636" s="66">
        <v>1</v>
      </c>
      <c r="D1636" s="66">
        <f t="shared" si="647"/>
        <v>0</v>
      </c>
      <c r="E1636" s="66">
        <f t="shared" si="648"/>
        <v>0</v>
      </c>
      <c r="F1636" s="67"/>
      <c r="G1636" s="61"/>
      <c r="H1636" s="68">
        <v>1</v>
      </c>
    </row>
    <row r="1637" spans="1:8" x14ac:dyDescent="0.25">
      <c r="A1637" s="56">
        <v>7</v>
      </c>
      <c r="B1637" s="76" t="s">
        <v>490</v>
      </c>
      <c r="C1637" s="66">
        <v>1</v>
      </c>
      <c r="D1637" s="66">
        <f t="shared" si="647"/>
        <v>0</v>
      </c>
      <c r="E1637" s="66">
        <f t="shared" si="648"/>
        <v>0</v>
      </c>
      <c r="F1637" s="67"/>
      <c r="G1637" s="61"/>
      <c r="H1637" s="68">
        <v>1</v>
      </c>
    </row>
    <row r="1638" spans="1:8" x14ac:dyDescent="0.25">
      <c r="A1638" s="56">
        <v>8</v>
      </c>
      <c r="B1638" s="76" t="s">
        <v>25</v>
      </c>
      <c r="C1638" s="66">
        <v>1</v>
      </c>
      <c r="D1638" s="66">
        <f t="shared" si="647"/>
        <v>0.75</v>
      </c>
      <c r="E1638" s="66">
        <f t="shared" si="648"/>
        <v>0.75</v>
      </c>
      <c r="F1638" s="67"/>
      <c r="G1638" s="61">
        <v>0.25</v>
      </c>
      <c r="H1638" s="68"/>
    </row>
    <row r="1639" spans="1:8" x14ac:dyDescent="0.25">
      <c r="A1639" s="61">
        <v>9</v>
      </c>
      <c r="B1639" s="76" t="s">
        <v>558</v>
      </c>
      <c r="C1639" s="66">
        <v>5</v>
      </c>
      <c r="D1639" s="66">
        <f t="shared" si="647"/>
        <v>1.5</v>
      </c>
      <c r="E1639" s="66">
        <f t="shared" si="648"/>
        <v>0.5</v>
      </c>
      <c r="F1639" s="67">
        <v>1</v>
      </c>
      <c r="G1639" s="61">
        <v>1.25</v>
      </c>
      <c r="H1639" s="68">
        <v>2.25</v>
      </c>
    </row>
    <row r="1640" spans="1:8" x14ac:dyDescent="0.25">
      <c r="A1640" s="61">
        <v>10</v>
      </c>
      <c r="B1640" s="76" t="s">
        <v>632</v>
      </c>
      <c r="C1640" s="66">
        <f>2-0.5</f>
        <v>1.5</v>
      </c>
      <c r="D1640" s="66">
        <f t="shared" si="647"/>
        <v>1.25</v>
      </c>
      <c r="E1640" s="66">
        <f t="shared" si="648"/>
        <v>1.25</v>
      </c>
      <c r="F1640" s="67"/>
      <c r="G1640" s="61">
        <v>0.25</v>
      </c>
      <c r="H1640" s="68"/>
    </row>
    <row r="1641" spans="1:8" x14ac:dyDescent="0.25">
      <c r="A1641" s="47">
        <v>11</v>
      </c>
      <c r="B1641" s="76" t="s">
        <v>493</v>
      </c>
      <c r="C1641" s="66">
        <v>0.5</v>
      </c>
      <c r="D1641" s="66">
        <f t="shared" si="647"/>
        <v>0</v>
      </c>
      <c r="E1641" s="66">
        <f t="shared" si="648"/>
        <v>0</v>
      </c>
      <c r="F1641" s="67"/>
      <c r="G1641" s="60"/>
      <c r="H1641" s="68">
        <v>0.5</v>
      </c>
    </row>
    <row r="1642" spans="1:8" x14ac:dyDescent="0.25">
      <c r="A1642" s="61"/>
      <c r="B1642" s="72" t="s">
        <v>27</v>
      </c>
      <c r="C1642" s="73">
        <f t="shared" ref="C1642:H1642" si="649">SUM(C1631:C1641)</f>
        <v>14</v>
      </c>
      <c r="D1642" s="73">
        <f t="shared" si="649"/>
        <v>7</v>
      </c>
      <c r="E1642" s="73">
        <f t="shared" si="649"/>
        <v>6</v>
      </c>
      <c r="F1642" s="74">
        <f t="shared" si="649"/>
        <v>1</v>
      </c>
      <c r="G1642" s="73">
        <f t="shared" si="649"/>
        <v>2.25</v>
      </c>
      <c r="H1642" s="73">
        <f t="shared" si="649"/>
        <v>4.75</v>
      </c>
    </row>
    <row r="1643" spans="1:8" x14ac:dyDescent="0.25">
      <c r="A1643" s="61"/>
      <c r="B1643" s="33" t="s">
        <v>376</v>
      </c>
      <c r="C1643" s="73"/>
      <c r="D1643" s="73"/>
      <c r="E1643" s="73"/>
      <c r="F1643" s="74"/>
      <c r="G1643" s="60"/>
      <c r="H1643" s="61"/>
    </row>
    <row r="1644" spans="1:8" x14ac:dyDescent="0.25">
      <c r="A1644" s="61">
        <v>1</v>
      </c>
      <c r="B1644" s="76" t="s">
        <v>377</v>
      </c>
      <c r="C1644" s="66">
        <v>1</v>
      </c>
      <c r="D1644" s="66">
        <f>C1644-G1644-H1644</f>
        <v>0.75</v>
      </c>
      <c r="E1644" s="66">
        <f>D1644-F1644</f>
        <v>0.75</v>
      </c>
      <c r="F1644" s="67"/>
      <c r="G1644" s="61">
        <v>0.25</v>
      </c>
      <c r="H1644" s="68"/>
    </row>
    <row r="1645" spans="1:8" x14ac:dyDescent="0.25">
      <c r="A1645" s="61">
        <v>2</v>
      </c>
      <c r="B1645" s="60" t="s">
        <v>633</v>
      </c>
      <c r="C1645" s="66">
        <f>2-1+1</f>
        <v>2</v>
      </c>
      <c r="D1645" s="66">
        <f>C1645-G1645-H1645</f>
        <v>1.5</v>
      </c>
      <c r="E1645" s="66">
        <f>D1645-F1645</f>
        <v>1.5</v>
      </c>
      <c r="F1645" s="67"/>
      <c r="G1645" s="68">
        <f>0.25+0.25</f>
        <v>0.5</v>
      </c>
      <c r="H1645" s="68"/>
    </row>
    <row r="1646" spans="1:8" x14ac:dyDescent="0.25">
      <c r="A1646" s="61">
        <v>3</v>
      </c>
      <c r="B1646" s="60" t="s">
        <v>25</v>
      </c>
      <c r="C1646" s="66">
        <f>1-1</f>
        <v>0</v>
      </c>
      <c r="D1646" s="66">
        <f>C1646-G1646-H1646</f>
        <v>0</v>
      </c>
      <c r="E1646" s="66">
        <f>D1646-F1646</f>
        <v>0</v>
      </c>
      <c r="F1646" s="67"/>
      <c r="G1646" s="60">
        <f>0.25-0.25</f>
        <v>0</v>
      </c>
      <c r="H1646" s="68"/>
    </row>
    <row r="1647" spans="1:8" x14ac:dyDescent="0.25">
      <c r="A1647" s="61"/>
      <c r="B1647" s="72" t="s">
        <v>54</v>
      </c>
      <c r="C1647" s="73">
        <f t="shared" ref="C1647:H1647" si="650">SUM(C1644:C1646)</f>
        <v>3</v>
      </c>
      <c r="D1647" s="73">
        <f t="shared" si="650"/>
        <v>2.25</v>
      </c>
      <c r="E1647" s="73">
        <f t="shared" si="650"/>
        <v>2.25</v>
      </c>
      <c r="F1647" s="74">
        <f t="shared" si="650"/>
        <v>0</v>
      </c>
      <c r="G1647" s="73">
        <f t="shared" si="650"/>
        <v>0.75</v>
      </c>
      <c r="H1647" s="73">
        <f t="shared" si="650"/>
        <v>0</v>
      </c>
    </row>
    <row r="1648" spans="1:8" x14ac:dyDescent="0.25">
      <c r="A1648" s="61"/>
      <c r="B1648" s="33" t="s">
        <v>378</v>
      </c>
      <c r="C1648" s="68"/>
      <c r="D1648" s="68"/>
      <c r="E1648" s="68"/>
      <c r="F1648" s="71"/>
      <c r="G1648" s="60"/>
      <c r="H1648" s="61"/>
    </row>
    <row r="1649" spans="1:8" x14ac:dyDescent="0.25">
      <c r="A1649" s="61" t="s">
        <v>61</v>
      </c>
      <c r="B1649" s="76" t="s">
        <v>379</v>
      </c>
      <c r="C1649" s="68">
        <v>1</v>
      </c>
      <c r="D1649" s="68">
        <f t="shared" ref="D1649:D1655" si="651">C1649-G1649-H1649</f>
        <v>0.75</v>
      </c>
      <c r="E1649" s="66">
        <f t="shared" ref="E1649:E1655" si="652">D1649-F1649</f>
        <v>0.75</v>
      </c>
      <c r="F1649" s="71"/>
      <c r="G1649" s="60">
        <v>0.25</v>
      </c>
      <c r="H1649" s="68"/>
    </row>
    <row r="1650" spans="1:8" ht="26.25" x14ac:dyDescent="0.25">
      <c r="A1650" s="61" t="s">
        <v>63</v>
      </c>
      <c r="B1650" s="88" t="s">
        <v>380</v>
      </c>
      <c r="C1650" s="68">
        <f>1+1-1</f>
        <v>1</v>
      </c>
      <c r="D1650" s="68">
        <f t="shared" si="651"/>
        <v>1</v>
      </c>
      <c r="E1650" s="66">
        <f t="shared" si="652"/>
        <v>1</v>
      </c>
      <c r="F1650" s="71"/>
      <c r="G1650" s="60"/>
      <c r="H1650" s="68"/>
    </row>
    <row r="1651" spans="1:8" x14ac:dyDescent="0.25">
      <c r="A1651" s="61">
        <v>3</v>
      </c>
      <c r="B1651" s="76" t="s">
        <v>634</v>
      </c>
      <c r="C1651" s="68">
        <v>1</v>
      </c>
      <c r="D1651" s="68">
        <f t="shared" si="651"/>
        <v>0.75</v>
      </c>
      <c r="E1651" s="66">
        <f t="shared" si="652"/>
        <v>0.75</v>
      </c>
      <c r="F1651" s="71"/>
      <c r="G1651" s="61">
        <v>0.25</v>
      </c>
      <c r="H1651" s="68"/>
    </row>
    <row r="1652" spans="1:8" x14ac:dyDescent="0.25">
      <c r="A1652" s="61">
        <v>4</v>
      </c>
      <c r="B1652" s="76" t="s">
        <v>381</v>
      </c>
      <c r="C1652" s="68">
        <v>1</v>
      </c>
      <c r="D1652" s="68">
        <f t="shared" si="651"/>
        <v>1</v>
      </c>
      <c r="E1652" s="66">
        <f t="shared" si="652"/>
        <v>1</v>
      </c>
      <c r="F1652" s="71"/>
      <c r="G1652" s="60"/>
      <c r="H1652" s="68"/>
    </row>
    <row r="1653" spans="1:8" x14ac:dyDescent="0.25">
      <c r="A1653" s="61">
        <v>5</v>
      </c>
      <c r="B1653" s="308" t="s">
        <v>416</v>
      </c>
      <c r="C1653" s="68">
        <f>4-1-1+1-1+1</f>
        <v>3</v>
      </c>
      <c r="D1653" s="68">
        <f t="shared" si="651"/>
        <v>2</v>
      </c>
      <c r="E1653" s="66">
        <f t="shared" si="652"/>
        <v>2</v>
      </c>
      <c r="F1653" s="71"/>
      <c r="G1653" s="60">
        <v>0.25</v>
      </c>
      <c r="H1653" s="68">
        <v>0.75</v>
      </c>
    </row>
    <row r="1654" spans="1:8" x14ac:dyDescent="0.25">
      <c r="A1654" s="61">
        <v>6</v>
      </c>
      <c r="B1654" s="76" t="s">
        <v>491</v>
      </c>
      <c r="C1654" s="68">
        <v>1</v>
      </c>
      <c r="D1654" s="68">
        <f t="shared" si="651"/>
        <v>1</v>
      </c>
      <c r="E1654" s="66">
        <f t="shared" si="652"/>
        <v>1</v>
      </c>
      <c r="F1654" s="71"/>
      <c r="G1654" s="60"/>
      <c r="H1654" s="68"/>
    </row>
    <row r="1655" spans="1:8" x14ac:dyDescent="0.25">
      <c r="A1655" s="61">
        <v>7</v>
      </c>
      <c r="B1655" s="76" t="s">
        <v>26</v>
      </c>
      <c r="C1655" s="68">
        <f>1-1+1+1-1+1-1+1</f>
        <v>2</v>
      </c>
      <c r="D1655" s="68">
        <f t="shared" si="651"/>
        <v>1.25</v>
      </c>
      <c r="E1655" s="66">
        <f t="shared" si="652"/>
        <v>1.25</v>
      </c>
      <c r="F1655" s="71"/>
      <c r="G1655" s="61">
        <f>0.25+0.5</f>
        <v>0.75</v>
      </c>
      <c r="H1655" s="68"/>
    </row>
    <row r="1656" spans="1:8" x14ac:dyDescent="0.25">
      <c r="A1656" s="123"/>
      <c r="B1656" s="72" t="s">
        <v>27</v>
      </c>
      <c r="C1656" s="73">
        <f t="shared" ref="C1656:H1656" si="653">SUM(C1649:C1655)</f>
        <v>10</v>
      </c>
      <c r="D1656" s="73">
        <f t="shared" si="653"/>
        <v>7.75</v>
      </c>
      <c r="E1656" s="73">
        <f t="shared" si="653"/>
        <v>7.75</v>
      </c>
      <c r="F1656" s="74">
        <f t="shared" si="653"/>
        <v>0</v>
      </c>
      <c r="G1656" s="73">
        <f t="shared" si="653"/>
        <v>1.5</v>
      </c>
      <c r="H1656" s="73">
        <f t="shared" si="653"/>
        <v>0.75</v>
      </c>
    </row>
    <row r="1657" spans="1:8" x14ac:dyDescent="0.25">
      <c r="A1657" s="61"/>
      <c r="B1657" s="33" t="s">
        <v>382</v>
      </c>
      <c r="C1657" s="68"/>
      <c r="D1657" s="68"/>
      <c r="E1657" s="68"/>
      <c r="F1657" s="71"/>
      <c r="G1657" s="60"/>
      <c r="H1657" s="61"/>
    </row>
    <row r="1658" spans="1:8" x14ac:dyDescent="0.25">
      <c r="A1658" s="61">
        <v>1</v>
      </c>
      <c r="B1658" s="88" t="s">
        <v>383</v>
      </c>
      <c r="C1658" s="68">
        <v>1</v>
      </c>
      <c r="D1658" s="68">
        <f t="shared" ref="D1658:D1678" si="654">C1658-G1658-H1658</f>
        <v>1</v>
      </c>
      <c r="E1658" s="66">
        <f t="shared" ref="E1658:E1678" si="655">D1658-F1658</f>
        <v>1</v>
      </c>
      <c r="F1658" s="71"/>
      <c r="G1658" s="60"/>
      <c r="H1658" s="68"/>
    </row>
    <row r="1659" spans="1:8" x14ac:dyDescent="0.25">
      <c r="A1659" s="61">
        <v>2</v>
      </c>
      <c r="B1659" s="152" t="s">
        <v>384</v>
      </c>
      <c r="C1659" s="68">
        <v>2</v>
      </c>
      <c r="D1659" s="68">
        <f t="shared" si="654"/>
        <v>2</v>
      </c>
      <c r="E1659" s="66">
        <f t="shared" si="655"/>
        <v>2</v>
      </c>
      <c r="F1659" s="71"/>
      <c r="G1659" s="60"/>
      <c r="H1659" s="68"/>
    </row>
    <row r="1660" spans="1:8" ht="26.25" x14ac:dyDescent="0.25">
      <c r="A1660" s="61">
        <v>3</v>
      </c>
      <c r="B1660" s="70" t="s">
        <v>385</v>
      </c>
      <c r="C1660" s="68">
        <v>1</v>
      </c>
      <c r="D1660" s="68">
        <f t="shared" si="654"/>
        <v>1</v>
      </c>
      <c r="E1660" s="66">
        <f t="shared" si="655"/>
        <v>1</v>
      </c>
      <c r="F1660" s="71"/>
      <c r="G1660" s="60"/>
      <c r="H1660" s="68"/>
    </row>
    <row r="1661" spans="1:8" x14ac:dyDescent="0.25">
      <c r="A1661" s="61">
        <v>4</v>
      </c>
      <c r="B1661" s="65" t="s">
        <v>386</v>
      </c>
      <c r="C1661" s="68">
        <v>1</v>
      </c>
      <c r="D1661" s="68">
        <f t="shared" si="654"/>
        <v>1</v>
      </c>
      <c r="E1661" s="66">
        <f t="shared" si="655"/>
        <v>1</v>
      </c>
      <c r="F1661" s="71"/>
      <c r="G1661" s="60"/>
      <c r="H1661" s="68"/>
    </row>
    <row r="1662" spans="1:8" ht="26.25" x14ac:dyDescent="0.25">
      <c r="A1662" s="61">
        <v>5</v>
      </c>
      <c r="B1662" s="70" t="s">
        <v>387</v>
      </c>
      <c r="C1662" s="68">
        <v>1</v>
      </c>
      <c r="D1662" s="68">
        <f t="shared" si="654"/>
        <v>1</v>
      </c>
      <c r="E1662" s="66">
        <f t="shared" si="655"/>
        <v>1</v>
      </c>
      <c r="F1662" s="71"/>
      <c r="G1662" s="60"/>
      <c r="H1662" s="68"/>
    </row>
    <row r="1663" spans="1:8" ht="26.25" x14ac:dyDescent="0.25">
      <c r="A1663" s="61">
        <v>6</v>
      </c>
      <c r="B1663" s="70" t="s">
        <v>388</v>
      </c>
      <c r="C1663" s="68">
        <v>1</v>
      </c>
      <c r="D1663" s="68">
        <f t="shared" si="654"/>
        <v>1</v>
      </c>
      <c r="E1663" s="66">
        <f t="shared" si="655"/>
        <v>1</v>
      </c>
      <c r="F1663" s="71"/>
      <c r="G1663" s="60"/>
      <c r="H1663" s="68"/>
    </row>
    <row r="1664" spans="1:8" ht="26.25" x14ac:dyDescent="0.25">
      <c r="A1664" s="61">
        <v>7</v>
      </c>
      <c r="B1664" s="70" t="s">
        <v>389</v>
      </c>
      <c r="C1664" s="68">
        <v>4</v>
      </c>
      <c r="D1664" s="68">
        <f t="shared" si="654"/>
        <v>4</v>
      </c>
      <c r="E1664" s="66">
        <f t="shared" si="655"/>
        <v>4</v>
      </c>
      <c r="F1664" s="71"/>
      <c r="G1664" s="60"/>
      <c r="H1664" s="68"/>
    </row>
    <row r="1665" spans="1:8" ht="26.25" x14ac:dyDescent="0.25">
      <c r="A1665" s="61">
        <v>8</v>
      </c>
      <c r="B1665" s="70" t="s">
        <v>503</v>
      </c>
      <c r="C1665" s="68">
        <v>1</v>
      </c>
      <c r="D1665" s="68">
        <f t="shared" si="654"/>
        <v>1</v>
      </c>
      <c r="E1665" s="66">
        <f t="shared" si="655"/>
        <v>1</v>
      </c>
      <c r="F1665" s="71"/>
      <c r="G1665" s="60"/>
      <c r="H1665" s="68"/>
    </row>
    <row r="1666" spans="1:8" ht="26.25" x14ac:dyDescent="0.25">
      <c r="A1666" s="61">
        <v>9</v>
      </c>
      <c r="B1666" s="70" t="s">
        <v>390</v>
      </c>
      <c r="C1666" s="68">
        <f>3-1-1</f>
        <v>1</v>
      </c>
      <c r="D1666" s="68">
        <f t="shared" si="654"/>
        <v>1</v>
      </c>
      <c r="E1666" s="66">
        <f t="shared" si="655"/>
        <v>1</v>
      </c>
      <c r="F1666" s="71"/>
      <c r="G1666" s="60"/>
      <c r="H1666" s="68"/>
    </row>
    <row r="1667" spans="1:8" ht="26.25" x14ac:dyDescent="0.25">
      <c r="A1667" s="61">
        <v>10</v>
      </c>
      <c r="B1667" s="70" t="s">
        <v>391</v>
      </c>
      <c r="C1667" s="68">
        <f>3+1+1</f>
        <v>5</v>
      </c>
      <c r="D1667" s="68">
        <f t="shared" si="654"/>
        <v>5</v>
      </c>
      <c r="E1667" s="66">
        <f t="shared" si="655"/>
        <v>5</v>
      </c>
      <c r="F1667" s="71"/>
      <c r="G1667" s="60"/>
      <c r="H1667" s="68"/>
    </row>
    <row r="1668" spans="1:8" x14ac:dyDescent="0.25">
      <c r="A1668" s="61">
        <v>11</v>
      </c>
      <c r="B1668" s="70" t="s">
        <v>635</v>
      </c>
      <c r="C1668" s="68">
        <f>1+1-1</f>
        <v>1</v>
      </c>
      <c r="D1668" s="68">
        <f t="shared" si="654"/>
        <v>1</v>
      </c>
      <c r="E1668" s="66">
        <f t="shared" si="655"/>
        <v>1</v>
      </c>
      <c r="F1668" s="71"/>
      <c r="G1668" s="60"/>
      <c r="H1668" s="68"/>
    </row>
    <row r="1669" spans="1:8" x14ac:dyDescent="0.25">
      <c r="A1669" s="61">
        <v>12</v>
      </c>
      <c r="B1669" s="65" t="s">
        <v>392</v>
      </c>
      <c r="C1669" s="68">
        <f>1-1</f>
        <v>0</v>
      </c>
      <c r="D1669" s="68">
        <f t="shared" si="654"/>
        <v>0</v>
      </c>
      <c r="E1669" s="66">
        <f t="shared" si="655"/>
        <v>0</v>
      </c>
      <c r="F1669" s="71"/>
      <c r="G1669" s="60"/>
      <c r="H1669" s="68"/>
    </row>
    <row r="1670" spans="1:8" x14ac:dyDescent="0.25">
      <c r="A1670" s="61">
        <v>13</v>
      </c>
      <c r="B1670" s="70" t="s">
        <v>636</v>
      </c>
      <c r="C1670" s="68">
        <f>1+1+1+1</f>
        <v>4</v>
      </c>
      <c r="D1670" s="68">
        <f t="shared" si="654"/>
        <v>4</v>
      </c>
      <c r="E1670" s="66">
        <f t="shared" si="655"/>
        <v>4</v>
      </c>
      <c r="F1670" s="71"/>
      <c r="G1670" s="60"/>
      <c r="H1670" s="68"/>
    </row>
    <row r="1671" spans="1:8" ht="26.25" x14ac:dyDescent="0.25">
      <c r="A1671" s="61">
        <v>14</v>
      </c>
      <c r="B1671" s="70" t="s">
        <v>637</v>
      </c>
      <c r="C1671" s="68">
        <f>1-1</f>
        <v>0</v>
      </c>
      <c r="D1671" s="68">
        <f t="shared" si="654"/>
        <v>0</v>
      </c>
      <c r="E1671" s="66">
        <f t="shared" si="655"/>
        <v>0</v>
      </c>
      <c r="F1671" s="71"/>
      <c r="G1671" s="60"/>
      <c r="H1671" s="68"/>
    </row>
    <row r="1672" spans="1:8" x14ac:dyDescent="0.25">
      <c r="A1672" s="61">
        <v>15</v>
      </c>
      <c r="B1672" s="65" t="s">
        <v>393</v>
      </c>
      <c r="C1672" s="66">
        <v>1</v>
      </c>
      <c r="D1672" s="66">
        <f t="shared" si="654"/>
        <v>1</v>
      </c>
      <c r="E1672" s="66">
        <f t="shared" si="655"/>
        <v>1</v>
      </c>
      <c r="F1672" s="67"/>
      <c r="G1672" s="60"/>
      <c r="H1672" s="68"/>
    </row>
    <row r="1673" spans="1:8" x14ac:dyDescent="0.25">
      <c r="A1673" s="61">
        <v>16</v>
      </c>
      <c r="B1673" s="65" t="s">
        <v>394</v>
      </c>
      <c r="C1673" s="66">
        <v>2</v>
      </c>
      <c r="D1673" s="66">
        <f t="shared" si="654"/>
        <v>2</v>
      </c>
      <c r="E1673" s="66">
        <f t="shared" si="655"/>
        <v>2</v>
      </c>
      <c r="F1673" s="67"/>
      <c r="G1673" s="60"/>
      <c r="H1673" s="68"/>
    </row>
    <row r="1674" spans="1:8" x14ac:dyDescent="0.25">
      <c r="A1674" s="61">
        <v>17</v>
      </c>
      <c r="B1674" s="76" t="s">
        <v>395</v>
      </c>
      <c r="C1674" s="66">
        <v>1</v>
      </c>
      <c r="D1674" s="66">
        <f t="shared" si="654"/>
        <v>1</v>
      </c>
      <c r="E1674" s="66">
        <f t="shared" si="655"/>
        <v>1</v>
      </c>
      <c r="F1674" s="67"/>
      <c r="G1674" s="60"/>
      <c r="H1674" s="68"/>
    </row>
    <row r="1675" spans="1:8" x14ac:dyDescent="0.25">
      <c r="A1675" s="61">
        <v>18</v>
      </c>
      <c r="B1675" s="65" t="s">
        <v>396</v>
      </c>
      <c r="C1675" s="66">
        <v>1</v>
      </c>
      <c r="D1675" s="66">
        <f t="shared" si="654"/>
        <v>1</v>
      </c>
      <c r="E1675" s="66">
        <f t="shared" si="655"/>
        <v>1</v>
      </c>
      <c r="F1675" s="67"/>
      <c r="G1675" s="60"/>
      <c r="H1675" s="68"/>
    </row>
    <row r="1676" spans="1:8" x14ac:dyDescent="0.25">
      <c r="A1676" s="61">
        <v>19</v>
      </c>
      <c r="B1676" s="65" t="s">
        <v>638</v>
      </c>
      <c r="C1676" s="68">
        <f>9-1</f>
        <v>8</v>
      </c>
      <c r="D1676" s="68">
        <f t="shared" si="654"/>
        <v>0</v>
      </c>
      <c r="E1676" s="66">
        <f t="shared" si="655"/>
        <v>0</v>
      </c>
      <c r="F1676" s="71"/>
      <c r="G1676" s="60"/>
      <c r="H1676" s="68">
        <f>9-1</f>
        <v>8</v>
      </c>
    </row>
    <row r="1677" spans="1:8" x14ac:dyDescent="0.25">
      <c r="A1677" s="61">
        <v>20</v>
      </c>
      <c r="B1677" s="65" t="s">
        <v>492</v>
      </c>
      <c r="C1677" s="68">
        <v>0.5</v>
      </c>
      <c r="D1677" s="68">
        <f t="shared" si="654"/>
        <v>0.5</v>
      </c>
      <c r="E1677" s="66">
        <f t="shared" si="655"/>
        <v>0.5</v>
      </c>
      <c r="F1677" s="71"/>
      <c r="G1677" s="60"/>
      <c r="H1677" s="68"/>
    </row>
    <row r="1678" spans="1:8" x14ac:dyDescent="0.25">
      <c r="A1678" s="61">
        <v>21</v>
      </c>
      <c r="B1678" s="65" t="s">
        <v>397</v>
      </c>
      <c r="C1678" s="68">
        <f>1-0.5</f>
        <v>0.5</v>
      </c>
      <c r="D1678" s="68">
        <f t="shared" si="654"/>
        <v>0.5</v>
      </c>
      <c r="E1678" s="66">
        <f t="shared" si="655"/>
        <v>0.5</v>
      </c>
      <c r="F1678" s="71"/>
      <c r="G1678" s="60"/>
      <c r="H1678" s="68"/>
    </row>
    <row r="1679" spans="1:8" x14ac:dyDescent="0.25">
      <c r="A1679" s="61"/>
      <c r="B1679" s="72" t="s">
        <v>27</v>
      </c>
      <c r="C1679" s="73">
        <f t="shared" ref="C1679:H1679" si="656">SUM(C1658:C1678)</f>
        <v>37</v>
      </c>
      <c r="D1679" s="73">
        <f t="shared" si="656"/>
        <v>29</v>
      </c>
      <c r="E1679" s="73">
        <f t="shared" si="656"/>
        <v>29</v>
      </c>
      <c r="F1679" s="74">
        <f t="shared" si="656"/>
        <v>0</v>
      </c>
      <c r="G1679" s="73">
        <f t="shared" si="656"/>
        <v>0</v>
      </c>
      <c r="H1679" s="73">
        <f t="shared" si="656"/>
        <v>8</v>
      </c>
    </row>
    <row r="1680" spans="1:8" x14ac:dyDescent="0.25">
      <c r="A1680" s="123"/>
      <c r="B1680" s="33" t="s">
        <v>398</v>
      </c>
      <c r="C1680" s="73"/>
      <c r="D1680" s="73"/>
      <c r="E1680" s="73"/>
      <c r="F1680" s="74"/>
      <c r="G1680" s="60"/>
      <c r="H1680" s="61"/>
    </row>
    <row r="1681" spans="1:8" x14ac:dyDescent="0.25">
      <c r="A1681" s="61">
        <v>1</v>
      </c>
      <c r="B1681" s="76" t="s">
        <v>399</v>
      </c>
      <c r="C1681" s="66">
        <v>1</v>
      </c>
      <c r="D1681" s="66">
        <f>C1681-G1681-H1681</f>
        <v>1</v>
      </c>
      <c r="E1681" s="66">
        <f>D1681-F1681</f>
        <v>1</v>
      </c>
      <c r="F1681" s="67"/>
      <c r="G1681" s="60"/>
      <c r="H1681" s="68"/>
    </row>
    <row r="1682" spans="1:8" x14ac:dyDescent="0.25">
      <c r="A1682" s="61">
        <v>2</v>
      </c>
      <c r="B1682" s="76" t="s">
        <v>400</v>
      </c>
      <c r="C1682" s="66">
        <f>6+1+1+1+0.5+0.5</f>
        <v>10</v>
      </c>
      <c r="D1682" s="66">
        <f>C1682-G1682-H1682</f>
        <v>7.25</v>
      </c>
      <c r="E1682" s="66">
        <f>D1682-F1682</f>
        <v>7.25</v>
      </c>
      <c r="F1682" s="67"/>
      <c r="G1682" s="68">
        <f>1.75+0.25+0.75</f>
        <v>2.75</v>
      </c>
      <c r="H1682" s="68"/>
    </row>
    <row r="1683" spans="1:8" x14ac:dyDescent="0.25">
      <c r="A1683" s="61"/>
      <c r="B1683" s="72" t="s">
        <v>401</v>
      </c>
      <c r="C1683" s="73">
        <f t="shared" ref="C1683:H1683" si="657">SUM(C1681:C1682)</f>
        <v>11</v>
      </c>
      <c r="D1683" s="73">
        <f t="shared" si="657"/>
        <v>8.25</v>
      </c>
      <c r="E1683" s="73">
        <f t="shared" si="657"/>
        <v>8.25</v>
      </c>
      <c r="F1683" s="74">
        <f t="shared" si="657"/>
        <v>0</v>
      </c>
      <c r="G1683" s="73">
        <f t="shared" si="657"/>
        <v>2.75</v>
      </c>
      <c r="H1683" s="73">
        <f t="shared" si="657"/>
        <v>0</v>
      </c>
    </row>
    <row r="1684" spans="1:8" x14ac:dyDescent="0.25">
      <c r="A1684" s="56"/>
      <c r="B1684" s="33" t="s">
        <v>402</v>
      </c>
      <c r="C1684" s="91"/>
      <c r="D1684" s="91"/>
      <c r="E1684" s="91"/>
      <c r="F1684" s="92"/>
      <c r="G1684" s="60"/>
      <c r="H1684" s="61"/>
    </row>
    <row r="1685" spans="1:8" x14ac:dyDescent="0.25">
      <c r="A1685" s="56">
        <v>1</v>
      </c>
      <c r="B1685" s="65" t="s">
        <v>403</v>
      </c>
      <c r="C1685" s="68">
        <v>1</v>
      </c>
      <c r="D1685" s="68">
        <f>C1685-G1685-H1685</f>
        <v>1</v>
      </c>
      <c r="E1685" s="66">
        <f>D1685-F1685</f>
        <v>1</v>
      </c>
      <c r="F1685" s="71"/>
      <c r="G1685" s="60"/>
      <c r="H1685" s="68"/>
    </row>
    <row r="1686" spans="1:8" x14ac:dyDescent="0.25">
      <c r="A1686" s="123"/>
      <c r="B1686" s="72" t="s">
        <v>54</v>
      </c>
      <c r="C1686" s="73">
        <f t="shared" ref="C1686:H1686" si="658">SUM(C1685:C1685)</f>
        <v>1</v>
      </c>
      <c r="D1686" s="73">
        <f t="shared" si="658"/>
        <v>1</v>
      </c>
      <c r="E1686" s="73">
        <f t="shared" si="658"/>
        <v>1</v>
      </c>
      <c r="F1686" s="74">
        <f t="shared" si="658"/>
        <v>0</v>
      </c>
      <c r="G1686" s="73">
        <f t="shared" si="658"/>
        <v>0</v>
      </c>
      <c r="H1686" s="73">
        <f t="shared" si="658"/>
        <v>0</v>
      </c>
    </row>
    <row r="1687" spans="1:8" x14ac:dyDescent="0.25">
      <c r="A1687" s="309" t="s">
        <v>639</v>
      </c>
      <c r="B1687" s="60"/>
      <c r="C1687" s="260"/>
      <c r="D1687" s="260"/>
      <c r="E1687" s="260"/>
      <c r="F1687" s="261"/>
      <c r="G1687" s="60"/>
      <c r="H1687" s="61"/>
    </row>
    <row r="1688" spans="1:8" x14ac:dyDescent="0.25">
      <c r="A1688" s="61">
        <v>1</v>
      </c>
      <c r="B1688" s="86" t="s">
        <v>404</v>
      </c>
      <c r="C1688" s="68">
        <v>1</v>
      </c>
      <c r="D1688" s="68">
        <f>C1688-G1688-H1688</f>
        <v>0.75</v>
      </c>
      <c r="E1688" s="66">
        <f>D1688-F1688</f>
        <v>0.75</v>
      </c>
      <c r="F1688" s="71"/>
      <c r="G1688" s="61">
        <v>0.25</v>
      </c>
      <c r="H1688" s="68"/>
    </row>
    <row r="1689" spans="1:8" x14ac:dyDescent="0.25">
      <c r="A1689" s="61">
        <v>2</v>
      </c>
      <c r="B1689" s="310" t="s">
        <v>250</v>
      </c>
      <c r="C1689" s="68">
        <f>2-1</f>
        <v>1</v>
      </c>
      <c r="D1689" s="68">
        <f>C1689-G1689-H1689</f>
        <v>0.75</v>
      </c>
      <c r="E1689" s="66">
        <f>D1689-F1689</f>
        <v>0.75</v>
      </c>
      <c r="F1689" s="71"/>
      <c r="G1689" s="61">
        <v>0.25</v>
      </c>
      <c r="H1689" s="68"/>
    </row>
    <row r="1690" spans="1:8" x14ac:dyDescent="0.25">
      <c r="A1690" s="61">
        <v>3</v>
      </c>
      <c r="B1690" s="86" t="s">
        <v>405</v>
      </c>
      <c r="C1690" s="68">
        <v>1</v>
      </c>
      <c r="D1690" s="68">
        <f>C1690-G1690-H1690</f>
        <v>0.75</v>
      </c>
      <c r="E1690" s="66">
        <f>D1690-F1690</f>
        <v>0.75</v>
      </c>
      <c r="F1690" s="71"/>
      <c r="G1690" s="61">
        <v>0.25</v>
      </c>
      <c r="H1690" s="68"/>
    </row>
    <row r="1691" spans="1:8" x14ac:dyDescent="0.25">
      <c r="A1691" s="61">
        <v>4</v>
      </c>
      <c r="B1691" s="86" t="s">
        <v>406</v>
      </c>
      <c r="C1691" s="68">
        <v>0.5</v>
      </c>
      <c r="D1691" s="68">
        <f>C1691-G1691-H1691</f>
        <v>0</v>
      </c>
      <c r="E1691" s="66">
        <f>D1691-F1691</f>
        <v>0</v>
      </c>
      <c r="F1691" s="71"/>
      <c r="G1691" s="68">
        <v>0.5</v>
      </c>
      <c r="H1691" s="68"/>
    </row>
    <row r="1692" spans="1:8" x14ac:dyDescent="0.25">
      <c r="A1692" s="61">
        <v>5</v>
      </c>
      <c r="B1692" s="103" t="s">
        <v>407</v>
      </c>
      <c r="C1692" s="68">
        <f>2+3-1+0.5</f>
        <v>4.5</v>
      </c>
      <c r="D1692" s="68">
        <f>C1692-G1692-H1692</f>
        <v>3.5</v>
      </c>
      <c r="E1692" s="66">
        <f>D1692-F1692</f>
        <v>3.5</v>
      </c>
      <c r="F1692" s="71"/>
      <c r="G1692" s="68">
        <v>1</v>
      </c>
      <c r="H1692" s="68"/>
    </row>
    <row r="1693" spans="1:8" x14ac:dyDescent="0.25">
      <c r="A1693" s="61"/>
      <c r="B1693" s="72" t="s">
        <v>27</v>
      </c>
      <c r="C1693" s="73">
        <f t="shared" ref="C1693:H1693" si="659">SUM(C1688:C1692)</f>
        <v>8</v>
      </c>
      <c r="D1693" s="73">
        <f t="shared" si="659"/>
        <v>5.75</v>
      </c>
      <c r="E1693" s="73">
        <f t="shared" si="659"/>
        <v>5.75</v>
      </c>
      <c r="F1693" s="74">
        <f t="shared" si="659"/>
        <v>0</v>
      </c>
      <c r="G1693" s="73">
        <f t="shared" si="659"/>
        <v>2.25</v>
      </c>
      <c r="H1693" s="73">
        <f t="shared" si="659"/>
        <v>0</v>
      </c>
    </row>
    <row r="1694" spans="1:8" x14ac:dyDescent="0.25">
      <c r="A1694" s="311"/>
      <c r="B1694" s="33" t="s">
        <v>408</v>
      </c>
      <c r="C1694" s="260"/>
      <c r="D1694" s="260"/>
      <c r="E1694" s="260"/>
      <c r="F1694" s="261"/>
      <c r="G1694" s="60"/>
      <c r="H1694" s="61"/>
    </row>
    <row r="1695" spans="1:8" x14ac:dyDescent="0.25">
      <c r="A1695" s="311">
        <v>1</v>
      </c>
      <c r="B1695" s="86" t="s">
        <v>640</v>
      </c>
      <c r="C1695" s="260">
        <v>1</v>
      </c>
      <c r="D1695" s="260">
        <f>C1695-G1695-H1695</f>
        <v>0.75</v>
      </c>
      <c r="E1695" s="66">
        <f>D1695-F1695</f>
        <v>0.75</v>
      </c>
      <c r="F1695" s="261"/>
      <c r="G1695" s="60">
        <v>0.25</v>
      </c>
      <c r="H1695" s="68"/>
    </row>
    <row r="1696" spans="1:8" x14ac:dyDescent="0.25">
      <c r="A1696" s="311">
        <v>2</v>
      </c>
      <c r="B1696" s="86" t="s">
        <v>469</v>
      </c>
      <c r="C1696" s="260">
        <v>1</v>
      </c>
      <c r="D1696" s="260">
        <f>C1696-G1696-H1696</f>
        <v>0.75</v>
      </c>
      <c r="E1696" s="66">
        <f>D1696-F1696</f>
        <v>0.75</v>
      </c>
      <c r="F1696" s="261"/>
      <c r="G1696" s="60">
        <v>0.25</v>
      </c>
      <c r="H1696" s="68"/>
    </row>
    <row r="1697" spans="1:8" x14ac:dyDescent="0.25">
      <c r="A1697" s="56">
        <v>3</v>
      </c>
      <c r="B1697" s="76" t="s">
        <v>25</v>
      </c>
      <c r="C1697" s="66">
        <f>1+1+1+1-1-1+1</f>
        <v>3</v>
      </c>
      <c r="D1697" s="66">
        <f>C1697-G1697-H1697</f>
        <v>2.25</v>
      </c>
      <c r="E1697" s="66">
        <f>D1697-F1697</f>
        <v>2.25</v>
      </c>
      <c r="F1697" s="67"/>
      <c r="G1697" s="102">
        <f>0.75-0.25+0.25-0.25+0.25</f>
        <v>0.75</v>
      </c>
      <c r="H1697" s="68"/>
    </row>
    <row r="1698" spans="1:8" x14ac:dyDescent="0.25">
      <c r="A1698" s="56">
        <v>4</v>
      </c>
      <c r="B1698" s="76" t="s">
        <v>26</v>
      </c>
      <c r="C1698" s="66">
        <v>1</v>
      </c>
      <c r="D1698" s="66">
        <f>C1698-G1698-H1698</f>
        <v>0.75</v>
      </c>
      <c r="E1698" s="66">
        <f>D1698-F1698</f>
        <v>0.75</v>
      </c>
      <c r="F1698" s="67"/>
      <c r="G1698" s="102">
        <v>0.25</v>
      </c>
      <c r="H1698" s="68"/>
    </row>
    <row r="1699" spans="1:8" x14ac:dyDescent="0.25">
      <c r="A1699" s="123"/>
      <c r="B1699" s="72" t="s">
        <v>54</v>
      </c>
      <c r="C1699" s="73">
        <f t="shared" ref="C1699:H1699" si="660">SUM(C1695:C1698)</f>
        <v>6</v>
      </c>
      <c r="D1699" s="73">
        <f t="shared" si="660"/>
        <v>4.5</v>
      </c>
      <c r="E1699" s="73">
        <f t="shared" si="660"/>
        <v>4.5</v>
      </c>
      <c r="F1699" s="74">
        <f t="shared" si="660"/>
        <v>0</v>
      </c>
      <c r="G1699" s="73">
        <f t="shared" si="660"/>
        <v>1.5</v>
      </c>
      <c r="H1699" s="73">
        <f t="shared" si="660"/>
        <v>0</v>
      </c>
    </row>
    <row r="1700" spans="1:8" x14ac:dyDescent="0.25">
      <c r="A1700" s="79" t="s">
        <v>409</v>
      </c>
      <c r="B1700" s="60"/>
      <c r="C1700" s="73"/>
      <c r="D1700" s="73"/>
      <c r="E1700" s="73"/>
      <c r="F1700" s="74"/>
      <c r="G1700" s="60"/>
      <c r="H1700" s="61"/>
    </row>
    <row r="1701" spans="1:8" ht="26.25" x14ac:dyDescent="0.25">
      <c r="A1701" s="56">
        <v>1</v>
      </c>
      <c r="B1701" s="103" t="s">
        <v>410</v>
      </c>
      <c r="C1701" s="66">
        <v>1</v>
      </c>
      <c r="D1701" s="66">
        <f>C1701-G1701-H1701</f>
        <v>0</v>
      </c>
      <c r="E1701" s="66">
        <f>D1701-F1701</f>
        <v>0</v>
      </c>
      <c r="F1701" s="67"/>
      <c r="G1701" s="61">
        <v>0.25</v>
      </c>
      <c r="H1701" s="68">
        <f>1-0.25</f>
        <v>0.75</v>
      </c>
    </row>
    <row r="1702" spans="1:8" x14ac:dyDescent="0.25">
      <c r="A1702" s="56">
        <v>2</v>
      </c>
      <c r="B1702" s="86" t="s">
        <v>411</v>
      </c>
      <c r="C1702" s="66">
        <v>0.5</v>
      </c>
      <c r="D1702" s="66">
        <f>C1702-G1702-H1702</f>
        <v>0</v>
      </c>
      <c r="E1702" s="66">
        <f>D1702-F1702</f>
        <v>0</v>
      </c>
      <c r="F1702" s="67"/>
      <c r="G1702" s="61">
        <v>0.25</v>
      </c>
      <c r="H1702" s="68">
        <f>0.5-0.25</f>
        <v>0.25</v>
      </c>
    </row>
    <row r="1703" spans="1:8" x14ac:dyDescent="0.25">
      <c r="A1703" s="61">
        <v>3</v>
      </c>
      <c r="B1703" s="86" t="s">
        <v>412</v>
      </c>
      <c r="C1703" s="66">
        <v>1</v>
      </c>
      <c r="D1703" s="66">
        <f>C1703-G1703-H1703</f>
        <v>0</v>
      </c>
      <c r="E1703" s="66">
        <f>D1703-F1703</f>
        <v>0</v>
      </c>
      <c r="F1703" s="67"/>
      <c r="G1703" s="61">
        <v>0.25</v>
      </c>
      <c r="H1703" s="68">
        <f>1-0.25</f>
        <v>0.75</v>
      </c>
    </row>
    <row r="1704" spans="1:8" x14ac:dyDescent="0.25">
      <c r="A1704" s="61">
        <v>4</v>
      </c>
      <c r="B1704" s="76" t="s">
        <v>413</v>
      </c>
      <c r="C1704" s="66">
        <f>7-1-1</f>
        <v>5</v>
      </c>
      <c r="D1704" s="66">
        <f>C1704-G1704-H1704</f>
        <v>0</v>
      </c>
      <c r="E1704" s="66">
        <f>D1704-F1704</f>
        <v>0</v>
      </c>
      <c r="F1704" s="67"/>
      <c r="G1704" s="68">
        <f>1.5-0.25</f>
        <v>1.25</v>
      </c>
      <c r="H1704" s="68">
        <f>7-1-1.5-0.75</f>
        <v>3.75</v>
      </c>
    </row>
    <row r="1705" spans="1:8" x14ac:dyDescent="0.25">
      <c r="A1705" s="61">
        <v>5</v>
      </c>
      <c r="B1705" s="76" t="s">
        <v>35</v>
      </c>
      <c r="C1705" s="66">
        <f>1+1</f>
        <v>2</v>
      </c>
      <c r="D1705" s="66">
        <f>C1705-G1705-H1705</f>
        <v>0</v>
      </c>
      <c r="E1705" s="66">
        <f>D1705-F1705</f>
        <v>0</v>
      </c>
      <c r="F1705" s="67"/>
      <c r="G1705" s="61">
        <v>0.5</v>
      </c>
      <c r="H1705" s="68">
        <f>1+1-0.5</f>
        <v>1.5</v>
      </c>
    </row>
    <row r="1706" spans="1:8" x14ac:dyDescent="0.25">
      <c r="A1706" s="123"/>
      <c r="B1706" s="72" t="s">
        <v>54</v>
      </c>
      <c r="C1706" s="73">
        <f t="shared" ref="C1706:H1706" si="661">SUM(C1701:C1705)</f>
        <v>9.5</v>
      </c>
      <c r="D1706" s="73">
        <f t="shared" si="661"/>
        <v>0</v>
      </c>
      <c r="E1706" s="73">
        <f t="shared" si="661"/>
        <v>0</v>
      </c>
      <c r="F1706" s="74">
        <f t="shared" si="661"/>
        <v>0</v>
      </c>
      <c r="G1706" s="73">
        <f t="shared" si="661"/>
        <v>2.5</v>
      </c>
      <c r="H1706" s="73">
        <f t="shared" si="661"/>
        <v>7</v>
      </c>
    </row>
    <row r="1707" spans="1:8" x14ac:dyDescent="0.25">
      <c r="A1707" s="123"/>
      <c r="B1707" s="186" t="s">
        <v>414</v>
      </c>
      <c r="C1707" s="73"/>
      <c r="D1707" s="73"/>
      <c r="E1707" s="73"/>
      <c r="F1707" s="74"/>
      <c r="G1707" s="60"/>
      <c r="H1707" s="61"/>
    </row>
    <row r="1708" spans="1:8" x14ac:dyDescent="0.25">
      <c r="A1708" s="56">
        <v>6</v>
      </c>
      <c r="B1708" s="76" t="s">
        <v>415</v>
      </c>
      <c r="C1708" s="66">
        <v>1</v>
      </c>
      <c r="D1708" s="66">
        <f>C1708-G1708-H1708</f>
        <v>0.75</v>
      </c>
      <c r="E1708" s="66">
        <f>D1708-F1708</f>
        <v>0.75</v>
      </c>
      <c r="F1708" s="67"/>
      <c r="G1708" s="60">
        <v>0.25</v>
      </c>
      <c r="H1708" s="68"/>
    </row>
    <row r="1709" spans="1:8" x14ac:dyDescent="0.25">
      <c r="A1709" s="56">
        <v>7</v>
      </c>
      <c r="B1709" s="76" t="s">
        <v>492</v>
      </c>
      <c r="C1709" s="66">
        <f>1-1+1+1</f>
        <v>2</v>
      </c>
      <c r="D1709" s="66">
        <f>C1709-G1709-H1709</f>
        <v>0.5</v>
      </c>
      <c r="E1709" s="66">
        <f>D1709-F1709</f>
        <v>0.5</v>
      </c>
      <c r="F1709" s="67"/>
      <c r="G1709" s="102">
        <f>0.5-0.5+0.5+0.25</f>
        <v>0.75</v>
      </c>
      <c r="H1709" s="68">
        <v>0.75</v>
      </c>
    </row>
    <row r="1710" spans="1:8" x14ac:dyDescent="0.25">
      <c r="A1710" s="61">
        <v>8</v>
      </c>
      <c r="B1710" s="76" t="s">
        <v>25</v>
      </c>
      <c r="C1710" s="66">
        <f>1+2-1</f>
        <v>2</v>
      </c>
      <c r="D1710" s="66">
        <f>C1710-G1710-H1710</f>
        <v>1</v>
      </c>
      <c r="E1710" s="66">
        <f>D1710-F1710</f>
        <v>1</v>
      </c>
      <c r="F1710" s="67"/>
      <c r="G1710" s="102">
        <f>0.25+0.75</f>
        <v>1</v>
      </c>
      <c r="H1710" s="68">
        <f>0.75-0.75</f>
        <v>0</v>
      </c>
    </row>
    <row r="1711" spans="1:8" x14ac:dyDescent="0.25">
      <c r="A1711" s="61">
        <v>9</v>
      </c>
      <c r="B1711" s="76" t="s">
        <v>412</v>
      </c>
      <c r="C1711" s="66">
        <v>1</v>
      </c>
      <c r="D1711" s="66">
        <f>C1711-G1711-H1711</f>
        <v>0</v>
      </c>
      <c r="E1711" s="66">
        <f>D1711-F1711</f>
        <v>0</v>
      </c>
      <c r="F1711" s="67"/>
      <c r="G1711" s="102">
        <v>0.25</v>
      </c>
      <c r="H1711" s="68">
        <v>0.75</v>
      </c>
    </row>
    <row r="1712" spans="1:8" x14ac:dyDescent="0.25">
      <c r="A1712" s="56"/>
      <c r="B1712" s="72" t="s">
        <v>54</v>
      </c>
      <c r="C1712" s="73">
        <f t="shared" ref="C1712:H1712" si="662">SUM(C1708:C1711)</f>
        <v>6</v>
      </c>
      <c r="D1712" s="73">
        <f t="shared" si="662"/>
        <v>2.25</v>
      </c>
      <c r="E1712" s="73">
        <f t="shared" si="662"/>
        <v>2.25</v>
      </c>
      <c r="F1712" s="74">
        <f t="shared" si="662"/>
        <v>0</v>
      </c>
      <c r="G1712" s="73">
        <f t="shared" si="662"/>
        <v>2.25</v>
      </c>
      <c r="H1712" s="73">
        <f t="shared" si="662"/>
        <v>1.5</v>
      </c>
    </row>
    <row r="1713" spans="1:8" x14ac:dyDescent="0.25">
      <c r="A1713" s="123"/>
      <c r="B1713" s="210" t="s">
        <v>641</v>
      </c>
      <c r="C1713" s="211">
        <f t="shared" ref="C1713:H1713" si="663">C1706+C1712</f>
        <v>15.5</v>
      </c>
      <c r="D1713" s="211">
        <f t="shared" si="663"/>
        <v>2.25</v>
      </c>
      <c r="E1713" s="211">
        <f t="shared" si="663"/>
        <v>2.25</v>
      </c>
      <c r="F1713" s="212">
        <f t="shared" si="663"/>
        <v>0</v>
      </c>
      <c r="G1713" s="211">
        <f t="shared" si="663"/>
        <v>4.75</v>
      </c>
      <c r="H1713" s="211">
        <f t="shared" si="663"/>
        <v>8.5</v>
      </c>
    </row>
    <row r="1714" spans="1:8" x14ac:dyDescent="0.25">
      <c r="A1714" s="123"/>
      <c r="B1714" s="33" t="s">
        <v>531</v>
      </c>
      <c r="C1714" s="73"/>
      <c r="D1714" s="73"/>
      <c r="E1714" s="73"/>
      <c r="F1714" s="74"/>
      <c r="G1714" s="60"/>
      <c r="H1714" s="61"/>
    </row>
    <row r="1715" spans="1:8" x14ac:dyDescent="0.25">
      <c r="A1715" s="56">
        <v>1</v>
      </c>
      <c r="B1715" s="86" t="s">
        <v>532</v>
      </c>
      <c r="C1715" s="66">
        <v>1</v>
      </c>
      <c r="D1715" s="66">
        <f t="shared" ref="D1715:D1721" si="664">C1715-G1715-H1715</f>
        <v>0</v>
      </c>
      <c r="E1715" s="66">
        <f t="shared" ref="E1715:E1721" si="665">D1715-F1715</f>
        <v>0</v>
      </c>
      <c r="F1715" s="67"/>
      <c r="G1715" s="60"/>
      <c r="H1715" s="68">
        <v>1</v>
      </c>
    </row>
    <row r="1716" spans="1:8" x14ac:dyDescent="0.25">
      <c r="A1716" s="56">
        <v>2</v>
      </c>
      <c r="B1716" s="86" t="s">
        <v>533</v>
      </c>
      <c r="C1716" s="66">
        <v>1</v>
      </c>
      <c r="D1716" s="66">
        <f t="shared" si="664"/>
        <v>0</v>
      </c>
      <c r="E1716" s="66">
        <f t="shared" si="665"/>
        <v>0</v>
      </c>
      <c r="F1716" s="67"/>
      <c r="G1716" s="60"/>
      <c r="H1716" s="68">
        <v>1</v>
      </c>
    </row>
    <row r="1717" spans="1:8" x14ac:dyDescent="0.25">
      <c r="A1717" s="56">
        <v>3</v>
      </c>
      <c r="B1717" s="86" t="s">
        <v>32</v>
      </c>
      <c r="C1717" s="66">
        <f>1-1</f>
        <v>0</v>
      </c>
      <c r="D1717" s="66">
        <f t="shared" si="664"/>
        <v>0</v>
      </c>
      <c r="E1717" s="66">
        <f t="shared" si="665"/>
        <v>0</v>
      </c>
      <c r="F1717" s="67"/>
      <c r="G1717" s="60"/>
      <c r="H1717" s="68">
        <f>1-1</f>
        <v>0</v>
      </c>
    </row>
    <row r="1718" spans="1:8" x14ac:dyDescent="0.25">
      <c r="A1718" s="56"/>
      <c r="B1718" s="86" t="s">
        <v>416</v>
      </c>
      <c r="C1718" s="66">
        <f>2-1-1</f>
        <v>0</v>
      </c>
      <c r="D1718" s="66">
        <f t="shared" si="664"/>
        <v>0</v>
      </c>
      <c r="E1718" s="66">
        <f t="shared" si="665"/>
        <v>0</v>
      </c>
      <c r="F1718" s="67"/>
      <c r="G1718" s="60"/>
      <c r="H1718" s="68">
        <f>2-1-1</f>
        <v>0</v>
      </c>
    </row>
    <row r="1719" spans="1:8" x14ac:dyDescent="0.25">
      <c r="A1719" s="56"/>
      <c r="B1719" s="76" t="s">
        <v>417</v>
      </c>
      <c r="C1719" s="66">
        <f>5-1-1+1+1-1+1-5</f>
        <v>0</v>
      </c>
      <c r="D1719" s="66">
        <f t="shared" si="664"/>
        <v>0</v>
      </c>
      <c r="E1719" s="66">
        <f t="shared" si="665"/>
        <v>0</v>
      </c>
      <c r="F1719" s="67"/>
      <c r="G1719" s="60"/>
      <c r="H1719" s="68">
        <f>4+1-5</f>
        <v>0</v>
      </c>
    </row>
    <row r="1720" spans="1:8" x14ac:dyDescent="0.25">
      <c r="A1720" s="56">
        <v>4</v>
      </c>
      <c r="B1720" s="76" t="s">
        <v>25</v>
      </c>
      <c r="C1720" s="66">
        <f>3.5-1+1-1+5-1+1</f>
        <v>7.5</v>
      </c>
      <c r="D1720" s="66">
        <f t="shared" si="664"/>
        <v>0</v>
      </c>
      <c r="E1720" s="66">
        <f t="shared" si="665"/>
        <v>0</v>
      </c>
      <c r="F1720" s="67"/>
      <c r="G1720" s="60"/>
      <c r="H1720" s="68">
        <f>2.5+1-1+5-1+1</f>
        <v>7.5</v>
      </c>
    </row>
    <row r="1721" spans="1:8" x14ac:dyDescent="0.25">
      <c r="A1721" s="61"/>
      <c r="B1721" s="76" t="s">
        <v>418</v>
      </c>
      <c r="C1721" s="66">
        <f>7-1-2-4</f>
        <v>0</v>
      </c>
      <c r="D1721" s="66">
        <f t="shared" si="664"/>
        <v>0</v>
      </c>
      <c r="E1721" s="66">
        <f t="shared" si="665"/>
        <v>0</v>
      </c>
      <c r="F1721" s="67"/>
      <c r="G1721" s="60"/>
      <c r="H1721" s="68">
        <f>6-2-4</f>
        <v>0</v>
      </c>
    </row>
    <row r="1722" spans="1:8" x14ac:dyDescent="0.25">
      <c r="A1722" s="56"/>
      <c r="B1722" s="72" t="s">
        <v>54</v>
      </c>
      <c r="C1722" s="73">
        <f t="shared" ref="C1722:H1722" si="666">SUM(C1715:C1721)</f>
        <v>9.5</v>
      </c>
      <c r="D1722" s="73">
        <f t="shared" si="666"/>
        <v>0</v>
      </c>
      <c r="E1722" s="73">
        <f t="shared" si="666"/>
        <v>0</v>
      </c>
      <c r="F1722" s="74">
        <f t="shared" si="666"/>
        <v>0</v>
      </c>
      <c r="G1722" s="73">
        <f t="shared" si="666"/>
        <v>0</v>
      </c>
      <c r="H1722" s="73">
        <f t="shared" si="666"/>
        <v>9.5</v>
      </c>
    </row>
    <row r="1723" spans="1:8" x14ac:dyDescent="0.25">
      <c r="A1723" s="56"/>
      <c r="B1723" s="33" t="s">
        <v>494</v>
      </c>
      <c r="C1723" s="73"/>
      <c r="D1723" s="73"/>
      <c r="E1723" s="73"/>
      <c r="F1723" s="74"/>
      <c r="G1723" s="60"/>
      <c r="H1723" s="61"/>
    </row>
    <row r="1724" spans="1:8" x14ac:dyDescent="0.25">
      <c r="A1724" s="56">
        <v>1</v>
      </c>
      <c r="B1724" s="76" t="s">
        <v>495</v>
      </c>
      <c r="C1724" s="66">
        <v>1</v>
      </c>
      <c r="D1724" s="66">
        <f>C1724-G1724-H1724</f>
        <v>0</v>
      </c>
      <c r="E1724" s="66">
        <f>D1724-F1724</f>
        <v>0</v>
      </c>
      <c r="F1724" s="67"/>
      <c r="G1724" s="60"/>
      <c r="H1724" s="68">
        <v>1</v>
      </c>
    </row>
    <row r="1725" spans="1:8" x14ac:dyDescent="0.25">
      <c r="A1725" s="56">
        <v>2</v>
      </c>
      <c r="B1725" s="76" t="s">
        <v>496</v>
      </c>
      <c r="C1725" s="66">
        <v>1</v>
      </c>
      <c r="D1725" s="66">
        <f>C1725-G1725-H1725</f>
        <v>0</v>
      </c>
      <c r="E1725" s="66">
        <f>D1725-F1725</f>
        <v>0</v>
      </c>
      <c r="F1725" s="67"/>
      <c r="G1725" s="60"/>
      <c r="H1725" s="68">
        <v>1</v>
      </c>
    </row>
    <row r="1726" spans="1:8" x14ac:dyDescent="0.25">
      <c r="A1726" s="56">
        <v>3</v>
      </c>
      <c r="B1726" s="76" t="s">
        <v>25</v>
      </c>
      <c r="C1726" s="66">
        <v>1</v>
      </c>
      <c r="D1726" s="66">
        <f>C1726-G1726-H1726</f>
        <v>0</v>
      </c>
      <c r="E1726" s="66">
        <f>D1726-F1726</f>
        <v>0</v>
      </c>
      <c r="F1726" s="67"/>
      <c r="G1726" s="60"/>
      <c r="H1726" s="68">
        <v>1</v>
      </c>
    </row>
    <row r="1727" spans="1:8" x14ac:dyDescent="0.25">
      <c r="A1727" s="56"/>
      <c r="B1727" s="72" t="s">
        <v>54</v>
      </c>
      <c r="C1727" s="73">
        <f t="shared" ref="C1727:H1727" si="667">SUM(C1724:C1726)</f>
        <v>3</v>
      </c>
      <c r="D1727" s="73">
        <f t="shared" si="667"/>
        <v>0</v>
      </c>
      <c r="E1727" s="73">
        <f t="shared" si="667"/>
        <v>0</v>
      </c>
      <c r="F1727" s="74">
        <f t="shared" si="667"/>
        <v>0</v>
      </c>
      <c r="G1727" s="73">
        <f t="shared" si="667"/>
        <v>0</v>
      </c>
      <c r="H1727" s="73">
        <f t="shared" si="667"/>
        <v>3</v>
      </c>
    </row>
    <row r="1728" spans="1:8" x14ac:dyDescent="0.25">
      <c r="A1728" s="56"/>
      <c r="B1728" s="79" t="s">
        <v>497</v>
      </c>
      <c r="C1728" s="73"/>
      <c r="D1728" s="73"/>
      <c r="E1728" s="73"/>
      <c r="F1728" s="74"/>
      <c r="G1728" s="73"/>
      <c r="H1728" s="73"/>
    </row>
    <row r="1729" spans="1:8" x14ac:dyDescent="0.25">
      <c r="A1729" s="56">
        <v>1</v>
      </c>
      <c r="B1729" s="76" t="s">
        <v>642</v>
      </c>
      <c r="C1729" s="66">
        <v>1</v>
      </c>
      <c r="D1729" s="66">
        <f>C1729-G1729-H1729</f>
        <v>0.5</v>
      </c>
      <c r="E1729" s="66">
        <f>D1729-F1729</f>
        <v>0.5</v>
      </c>
      <c r="F1729" s="67"/>
      <c r="G1729" s="66">
        <v>0.5</v>
      </c>
      <c r="H1729" s="66"/>
    </row>
    <row r="1730" spans="1:8" x14ac:dyDescent="0.25">
      <c r="A1730" s="56">
        <v>2</v>
      </c>
      <c r="B1730" s="76" t="s">
        <v>498</v>
      </c>
      <c r="C1730" s="66">
        <f>6+2</f>
        <v>8</v>
      </c>
      <c r="D1730" s="66">
        <f>C1730-G1730-H1730</f>
        <v>3</v>
      </c>
      <c r="E1730" s="66">
        <f>D1730-F1730</f>
        <v>3</v>
      </c>
      <c r="F1730" s="67"/>
      <c r="G1730" s="66">
        <v>3</v>
      </c>
      <c r="H1730" s="66">
        <v>2</v>
      </c>
    </row>
    <row r="1731" spans="1:8" x14ac:dyDescent="0.25">
      <c r="A1731" s="56"/>
      <c r="B1731" s="72" t="s">
        <v>54</v>
      </c>
      <c r="C1731" s="73">
        <f t="shared" ref="C1731:H1731" si="668">SUM(C1729:C1730)</f>
        <v>9</v>
      </c>
      <c r="D1731" s="73">
        <f t="shared" si="668"/>
        <v>3.5</v>
      </c>
      <c r="E1731" s="73">
        <f t="shared" si="668"/>
        <v>3.5</v>
      </c>
      <c r="F1731" s="74">
        <f t="shared" si="668"/>
        <v>0</v>
      </c>
      <c r="G1731" s="73">
        <f t="shared" si="668"/>
        <v>3.5</v>
      </c>
      <c r="H1731" s="73">
        <f t="shared" si="668"/>
        <v>2</v>
      </c>
    </row>
    <row r="1732" spans="1:8" x14ac:dyDescent="0.25">
      <c r="A1732" s="56"/>
      <c r="B1732" s="90" t="s">
        <v>528</v>
      </c>
      <c r="C1732" s="73"/>
      <c r="D1732" s="73"/>
      <c r="E1732" s="73"/>
      <c r="F1732" s="74"/>
      <c r="G1732" s="73"/>
      <c r="H1732" s="73"/>
    </row>
    <row r="1733" spans="1:8" x14ac:dyDescent="0.25">
      <c r="A1733" s="56">
        <v>1</v>
      </c>
      <c r="B1733" s="76" t="s">
        <v>495</v>
      </c>
      <c r="C1733" s="66">
        <v>1</v>
      </c>
      <c r="D1733" s="66">
        <f>C1733-G1733-H1733</f>
        <v>0.5</v>
      </c>
      <c r="E1733" s="66">
        <f>D1733-F1733</f>
        <v>0.5</v>
      </c>
      <c r="F1733" s="67"/>
      <c r="G1733" s="66">
        <v>0.5</v>
      </c>
      <c r="H1733" s="73"/>
    </row>
    <row r="1734" spans="1:8" x14ac:dyDescent="0.25">
      <c r="A1734" s="56">
        <v>2</v>
      </c>
      <c r="B1734" s="76" t="s">
        <v>529</v>
      </c>
      <c r="C1734" s="66">
        <v>1</v>
      </c>
      <c r="D1734" s="66">
        <f>C1734-G1734-H1734</f>
        <v>0.5</v>
      </c>
      <c r="E1734" s="66">
        <f>D1734-F1734</f>
        <v>0.5</v>
      </c>
      <c r="F1734" s="67"/>
      <c r="G1734" s="66">
        <v>0.5</v>
      </c>
      <c r="H1734" s="73"/>
    </row>
    <row r="1735" spans="1:8" x14ac:dyDescent="0.25">
      <c r="A1735" s="56">
        <v>3</v>
      </c>
      <c r="B1735" s="76" t="s">
        <v>445</v>
      </c>
      <c r="C1735" s="66">
        <v>1</v>
      </c>
      <c r="D1735" s="66">
        <f>C1735-G1735-H1735</f>
        <v>0.5</v>
      </c>
      <c r="E1735" s="66">
        <f>D1735-F1735</f>
        <v>0.5</v>
      </c>
      <c r="F1735" s="67"/>
      <c r="G1735" s="66">
        <v>0.5</v>
      </c>
      <c r="H1735" s="73"/>
    </row>
    <row r="1736" spans="1:8" x14ac:dyDescent="0.25">
      <c r="A1736" s="56">
        <v>4</v>
      </c>
      <c r="B1736" s="76" t="s">
        <v>530</v>
      </c>
      <c r="C1736" s="66">
        <v>1</v>
      </c>
      <c r="D1736" s="66">
        <f>C1736-G1736-H1736</f>
        <v>0.5</v>
      </c>
      <c r="E1736" s="66">
        <f>D1736-F1736</f>
        <v>0.5</v>
      </c>
      <c r="F1736" s="67"/>
      <c r="G1736" s="66">
        <v>0.5</v>
      </c>
      <c r="H1736" s="73"/>
    </row>
    <row r="1737" spans="1:8" x14ac:dyDescent="0.25">
      <c r="A1737" s="56"/>
      <c r="B1737" s="72" t="s">
        <v>54</v>
      </c>
      <c r="C1737" s="73">
        <f t="shared" ref="C1737:H1737" si="669">SUM(C1733:C1736)</f>
        <v>4</v>
      </c>
      <c r="D1737" s="73">
        <f t="shared" si="669"/>
        <v>2</v>
      </c>
      <c r="E1737" s="73">
        <f t="shared" si="669"/>
        <v>2</v>
      </c>
      <c r="F1737" s="74">
        <f t="shared" si="669"/>
        <v>0</v>
      </c>
      <c r="G1737" s="73">
        <f t="shared" si="669"/>
        <v>2</v>
      </c>
      <c r="H1737" s="73">
        <f t="shared" si="669"/>
        <v>0</v>
      </c>
    </row>
    <row r="1738" spans="1:8" ht="15.75" x14ac:dyDescent="0.25">
      <c r="A1738" s="56"/>
      <c r="B1738" s="221" t="s">
        <v>419</v>
      </c>
      <c r="C1738" s="66"/>
      <c r="D1738" s="66"/>
      <c r="E1738" s="66"/>
      <c r="F1738" s="67"/>
      <c r="G1738" s="60"/>
      <c r="H1738" s="61"/>
    </row>
    <row r="1739" spans="1:8" x14ac:dyDescent="0.25">
      <c r="A1739" s="56">
        <v>1</v>
      </c>
      <c r="B1739" s="76" t="s">
        <v>420</v>
      </c>
      <c r="C1739" s="66">
        <v>1</v>
      </c>
      <c r="D1739" s="66">
        <f>C1739-G1739-H1739</f>
        <v>0.75</v>
      </c>
      <c r="E1739" s="66">
        <f>D1739-F1739</f>
        <v>0.75</v>
      </c>
      <c r="F1739" s="67"/>
      <c r="G1739" s="60">
        <v>0.25</v>
      </c>
      <c r="H1739" s="68"/>
    </row>
    <row r="1740" spans="1:8" ht="26.25" x14ac:dyDescent="0.25">
      <c r="A1740" s="56">
        <v>2</v>
      </c>
      <c r="B1740" s="88" t="s">
        <v>421</v>
      </c>
      <c r="C1740" s="66">
        <f>1-1+1</f>
        <v>1</v>
      </c>
      <c r="D1740" s="66">
        <f>C1740-G1740-H1740</f>
        <v>0.75</v>
      </c>
      <c r="E1740" s="66">
        <f>D1740-F1740</f>
        <v>0.75</v>
      </c>
      <c r="F1740" s="67"/>
      <c r="G1740" s="60">
        <v>0.25</v>
      </c>
      <c r="H1740" s="68"/>
    </row>
    <row r="1741" spans="1:8" x14ac:dyDescent="0.25">
      <c r="A1741" s="56"/>
      <c r="B1741" s="141" t="s">
        <v>54</v>
      </c>
      <c r="C1741" s="128">
        <f t="shared" ref="C1741:H1741" si="670">SUM(C1739:C1740)</f>
        <v>2</v>
      </c>
      <c r="D1741" s="128">
        <f t="shared" si="670"/>
        <v>1.5</v>
      </c>
      <c r="E1741" s="128">
        <f t="shared" si="670"/>
        <v>1.5</v>
      </c>
      <c r="F1741" s="176">
        <f t="shared" si="670"/>
        <v>0</v>
      </c>
      <c r="G1741" s="128">
        <f t="shared" si="670"/>
        <v>0.5</v>
      </c>
      <c r="H1741" s="128">
        <f t="shared" si="670"/>
        <v>0</v>
      </c>
    </row>
    <row r="1742" spans="1:8" x14ac:dyDescent="0.25">
      <c r="A1742" s="61"/>
      <c r="B1742" s="196" t="s">
        <v>422</v>
      </c>
      <c r="C1742" s="66"/>
      <c r="D1742" s="66"/>
      <c r="E1742" s="66"/>
      <c r="F1742" s="67"/>
      <c r="G1742" s="60"/>
      <c r="H1742" s="61"/>
    </row>
    <row r="1743" spans="1:8" x14ac:dyDescent="0.25">
      <c r="A1743" s="56">
        <v>3</v>
      </c>
      <c r="B1743" s="76" t="s">
        <v>412</v>
      </c>
      <c r="C1743" s="66">
        <f>5-1</f>
        <v>4</v>
      </c>
      <c r="D1743" s="66">
        <f t="shared" ref="D1743:D1749" si="671">C1743-G1743-H1743</f>
        <v>3</v>
      </c>
      <c r="E1743" s="66">
        <f t="shared" ref="E1743:E1749" si="672">D1743-F1743</f>
        <v>3</v>
      </c>
      <c r="F1743" s="67"/>
      <c r="G1743" s="102">
        <v>1</v>
      </c>
      <c r="H1743" s="68"/>
    </row>
    <row r="1744" spans="1:8" x14ac:dyDescent="0.25">
      <c r="A1744" s="56">
        <v>4</v>
      </c>
      <c r="B1744" s="76" t="s">
        <v>423</v>
      </c>
      <c r="C1744" s="66">
        <f>1+1+1-1+1</f>
        <v>3</v>
      </c>
      <c r="D1744" s="66">
        <f t="shared" si="671"/>
        <v>1.5</v>
      </c>
      <c r="E1744" s="66">
        <f t="shared" si="672"/>
        <v>1.5</v>
      </c>
      <c r="F1744" s="67"/>
      <c r="G1744" s="102">
        <f>0.25+0.25+0.25-0.25+1</f>
        <v>1.5</v>
      </c>
      <c r="H1744" s="68"/>
    </row>
    <row r="1745" spans="1:9" x14ac:dyDescent="0.25">
      <c r="A1745" s="56">
        <v>5</v>
      </c>
      <c r="B1745" s="88" t="s">
        <v>424</v>
      </c>
      <c r="C1745" s="66">
        <v>1</v>
      </c>
      <c r="D1745" s="66">
        <f t="shared" si="671"/>
        <v>1</v>
      </c>
      <c r="E1745" s="66">
        <f t="shared" si="672"/>
        <v>1</v>
      </c>
      <c r="F1745" s="67"/>
      <c r="G1745" s="60"/>
      <c r="H1745" s="68"/>
    </row>
    <row r="1746" spans="1:9" x14ac:dyDescent="0.25">
      <c r="A1746" s="56">
        <v>6</v>
      </c>
      <c r="B1746" s="88" t="s">
        <v>425</v>
      </c>
      <c r="C1746" s="66">
        <v>1</v>
      </c>
      <c r="D1746" s="66">
        <f t="shared" si="671"/>
        <v>0.75</v>
      </c>
      <c r="E1746" s="66">
        <f t="shared" si="672"/>
        <v>0.75</v>
      </c>
      <c r="F1746" s="67"/>
      <c r="G1746" s="60">
        <v>0.25</v>
      </c>
      <c r="H1746" s="68"/>
    </row>
    <row r="1747" spans="1:9" x14ac:dyDescent="0.25">
      <c r="A1747" s="61">
        <v>7</v>
      </c>
      <c r="B1747" s="76" t="s">
        <v>426</v>
      </c>
      <c r="C1747" s="66">
        <v>1</v>
      </c>
      <c r="D1747" s="66">
        <f t="shared" si="671"/>
        <v>0.5</v>
      </c>
      <c r="E1747" s="66">
        <f t="shared" si="672"/>
        <v>0.5</v>
      </c>
      <c r="F1747" s="67"/>
      <c r="G1747" s="102">
        <v>0.5</v>
      </c>
      <c r="H1747" s="68"/>
    </row>
    <row r="1748" spans="1:9" ht="26.25" x14ac:dyDescent="0.25">
      <c r="A1748" s="61">
        <v>8</v>
      </c>
      <c r="B1748" s="88" t="s">
        <v>427</v>
      </c>
      <c r="C1748" s="66">
        <v>0.5</v>
      </c>
      <c r="D1748" s="66">
        <f t="shared" si="671"/>
        <v>0.25</v>
      </c>
      <c r="E1748" s="66">
        <f t="shared" si="672"/>
        <v>0.25</v>
      </c>
      <c r="F1748" s="67"/>
      <c r="G1748" s="60">
        <v>0.25</v>
      </c>
      <c r="H1748" s="68"/>
    </row>
    <row r="1749" spans="1:9" x14ac:dyDescent="0.25">
      <c r="A1749" s="61">
        <v>9</v>
      </c>
      <c r="B1749" s="88" t="s">
        <v>413</v>
      </c>
      <c r="C1749" s="66">
        <f>1-1</f>
        <v>0</v>
      </c>
      <c r="D1749" s="66">
        <f t="shared" si="671"/>
        <v>0</v>
      </c>
      <c r="E1749" s="66">
        <f t="shared" si="672"/>
        <v>0</v>
      </c>
      <c r="F1749" s="67"/>
      <c r="G1749" s="60"/>
      <c r="H1749" s="68"/>
    </row>
    <row r="1750" spans="1:9" x14ac:dyDescent="0.25">
      <c r="A1750" s="61"/>
      <c r="B1750" s="141" t="s">
        <v>54</v>
      </c>
      <c r="C1750" s="73">
        <f t="shared" ref="C1750:H1750" si="673">SUM(C1743:C1749)</f>
        <v>10.5</v>
      </c>
      <c r="D1750" s="73">
        <f t="shared" si="673"/>
        <v>7</v>
      </c>
      <c r="E1750" s="73">
        <f t="shared" si="673"/>
        <v>7</v>
      </c>
      <c r="F1750" s="74">
        <f t="shared" si="673"/>
        <v>0</v>
      </c>
      <c r="G1750" s="73">
        <f t="shared" si="673"/>
        <v>3.5</v>
      </c>
      <c r="H1750" s="73">
        <f t="shared" si="673"/>
        <v>0</v>
      </c>
    </row>
    <row r="1751" spans="1:9" x14ac:dyDescent="0.25">
      <c r="A1751" s="61"/>
      <c r="B1751" s="196" t="s">
        <v>428</v>
      </c>
      <c r="C1751" s="73"/>
      <c r="D1751" s="73"/>
      <c r="E1751" s="73"/>
      <c r="F1751" s="74"/>
      <c r="G1751" s="60"/>
      <c r="H1751" s="61"/>
    </row>
    <row r="1752" spans="1:9" x14ac:dyDescent="0.25">
      <c r="A1752" s="56">
        <v>10</v>
      </c>
      <c r="B1752" s="103" t="s">
        <v>429</v>
      </c>
      <c r="C1752" s="66">
        <f>1-0.5</f>
        <v>0.5</v>
      </c>
      <c r="D1752" s="66">
        <f t="shared" ref="D1752:D1758" si="674">C1752-G1752-H1752</f>
        <v>0</v>
      </c>
      <c r="E1752" s="66">
        <f t="shared" ref="E1752:E1758" si="675">D1752-F1752</f>
        <v>0</v>
      </c>
      <c r="F1752" s="67"/>
      <c r="G1752" s="60"/>
      <c r="H1752" s="102">
        <f>1-0.5</f>
        <v>0.5</v>
      </c>
      <c r="I1752" s="3">
        <f t="shared" ref="I1752:I1760" si="676">SUM(D1752:H1752)</f>
        <v>0.5</v>
      </c>
    </row>
    <row r="1753" spans="1:9" x14ac:dyDescent="0.25">
      <c r="A1753" s="56">
        <v>11</v>
      </c>
      <c r="B1753" s="103" t="s">
        <v>430</v>
      </c>
      <c r="C1753" s="66">
        <v>4.5</v>
      </c>
      <c r="D1753" s="66">
        <f t="shared" si="674"/>
        <v>0</v>
      </c>
      <c r="E1753" s="66">
        <f t="shared" si="675"/>
        <v>0</v>
      </c>
      <c r="F1753" s="67"/>
      <c r="G1753" s="60"/>
      <c r="H1753" s="102">
        <f>4.5-2.5-1+3.5</f>
        <v>4.5</v>
      </c>
      <c r="I1753" s="3">
        <f t="shared" si="676"/>
        <v>4.5</v>
      </c>
    </row>
    <row r="1754" spans="1:9" x14ac:dyDescent="0.25">
      <c r="A1754" s="56">
        <v>12</v>
      </c>
      <c r="B1754" s="88" t="s">
        <v>431</v>
      </c>
      <c r="C1754" s="66">
        <v>1</v>
      </c>
      <c r="D1754" s="66">
        <f t="shared" si="674"/>
        <v>0</v>
      </c>
      <c r="E1754" s="66">
        <f t="shared" si="675"/>
        <v>0</v>
      </c>
      <c r="F1754" s="67"/>
      <c r="G1754" s="60"/>
      <c r="H1754" s="102">
        <f>1-1+1</f>
        <v>1</v>
      </c>
      <c r="I1754" s="3">
        <f t="shared" si="676"/>
        <v>1</v>
      </c>
    </row>
    <row r="1755" spans="1:9" x14ac:dyDescent="0.25">
      <c r="A1755" s="56">
        <v>13</v>
      </c>
      <c r="B1755" s="88" t="s">
        <v>432</v>
      </c>
      <c r="C1755" s="66">
        <v>3</v>
      </c>
      <c r="D1755" s="66">
        <f t="shared" si="674"/>
        <v>0</v>
      </c>
      <c r="E1755" s="66">
        <f t="shared" si="675"/>
        <v>0</v>
      </c>
      <c r="F1755" s="67"/>
      <c r="G1755" s="60"/>
      <c r="H1755" s="102">
        <f>3-1+1</f>
        <v>3</v>
      </c>
      <c r="I1755" s="3">
        <f t="shared" si="676"/>
        <v>3</v>
      </c>
    </row>
    <row r="1756" spans="1:9" x14ac:dyDescent="0.25">
      <c r="A1756" s="56">
        <v>14</v>
      </c>
      <c r="B1756" s="88" t="s">
        <v>316</v>
      </c>
      <c r="C1756" s="66">
        <f>5+1</f>
        <v>6</v>
      </c>
      <c r="D1756" s="66">
        <f t="shared" si="674"/>
        <v>0</v>
      </c>
      <c r="E1756" s="66">
        <f t="shared" si="675"/>
        <v>0</v>
      </c>
      <c r="F1756" s="67"/>
      <c r="G1756" s="60"/>
      <c r="H1756" s="102">
        <f>5-3+3+1</f>
        <v>6</v>
      </c>
      <c r="I1756" s="3">
        <f t="shared" si="676"/>
        <v>6</v>
      </c>
    </row>
    <row r="1757" spans="1:9" x14ac:dyDescent="0.25">
      <c r="A1757" s="56">
        <v>15</v>
      </c>
      <c r="B1757" s="88" t="s">
        <v>433</v>
      </c>
      <c r="C1757" s="66">
        <v>8.5</v>
      </c>
      <c r="D1757" s="66">
        <f t="shared" si="674"/>
        <v>0</v>
      </c>
      <c r="E1757" s="66">
        <f t="shared" si="675"/>
        <v>0</v>
      </c>
      <c r="F1757" s="67"/>
      <c r="G1757" s="60"/>
      <c r="H1757" s="102">
        <f>8.5-1.5+1.5</f>
        <v>8.5</v>
      </c>
      <c r="I1757" s="3">
        <f t="shared" si="676"/>
        <v>8.5</v>
      </c>
    </row>
    <row r="1758" spans="1:9" ht="26.25" x14ac:dyDescent="0.25">
      <c r="A1758" s="56">
        <v>16</v>
      </c>
      <c r="B1758" s="88" t="s">
        <v>434</v>
      </c>
      <c r="C1758" s="66">
        <v>22.5</v>
      </c>
      <c r="D1758" s="66">
        <f t="shared" si="674"/>
        <v>0</v>
      </c>
      <c r="E1758" s="66">
        <f t="shared" si="675"/>
        <v>0</v>
      </c>
      <c r="F1758" s="67"/>
      <c r="G1758" s="60"/>
      <c r="H1758" s="102">
        <f>22.5-16.5-6+22.5</f>
        <v>22.5</v>
      </c>
      <c r="I1758" s="3">
        <f t="shared" si="676"/>
        <v>22.5</v>
      </c>
    </row>
    <row r="1759" spans="1:9" x14ac:dyDescent="0.25">
      <c r="A1759" s="56"/>
      <c r="B1759" s="141" t="s">
        <v>54</v>
      </c>
      <c r="C1759" s="73">
        <f t="shared" ref="C1759:H1759" si="677">SUM(C1752:C1758)</f>
        <v>46</v>
      </c>
      <c r="D1759" s="73">
        <f t="shared" si="677"/>
        <v>0</v>
      </c>
      <c r="E1759" s="73">
        <f t="shared" si="677"/>
        <v>0</v>
      </c>
      <c r="F1759" s="74">
        <f t="shared" si="677"/>
        <v>0</v>
      </c>
      <c r="G1759" s="73">
        <f t="shared" si="677"/>
        <v>0</v>
      </c>
      <c r="H1759" s="73">
        <f t="shared" si="677"/>
        <v>46</v>
      </c>
      <c r="I1759" s="3">
        <f t="shared" si="676"/>
        <v>46</v>
      </c>
    </row>
    <row r="1760" spans="1:9" x14ac:dyDescent="0.25">
      <c r="A1760" s="123"/>
      <c r="B1760" s="289" t="s">
        <v>435</v>
      </c>
      <c r="C1760" s="73">
        <f t="shared" ref="C1760:H1760" si="678">C1759+C1750+C1741</f>
        <v>58.5</v>
      </c>
      <c r="D1760" s="73">
        <f t="shared" si="678"/>
        <v>8.5</v>
      </c>
      <c r="E1760" s="73">
        <f t="shared" si="678"/>
        <v>8.5</v>
      </c>
      <c r="F1760" s="74">
        <f t="shared" si="678"/>
        <v>0</v>
      </c>
      <c r="G1760" s="73">
        <f t="shared" si="678"/>
        <v>4</v>
      </c>
      <c r="H1760" s="73">
        <f t="shared" si="678"/>
        <v>46</v>
      </c>
      <c r="I1760" s="3">
        <f t="shared" si="676"/>
        <v>67</v>
      </c>
    </row>
    <row r="1761" spans="1:8" x14ac:dyDescent="0.25">
      <c r="A1761" s="124"/>
      <c r="B1761" s="79" t="s">
        <v>436</v>
      </c>
      <c r="C1761" s="63"/>
      <c r="D1761" s="63"/>
      <c r="E1761" s="63"/>
      <c r="F1761" s="64"/>
      <c r="G1761" s="60"/>
      <c r="H1761" s="61"/>
    </row>
    <row r="1762" spans="1:8" ht="26.25" x14ac:dyDescent="0.25">
      <c r="A1762" s="61">
        <v>1</v>
      </c>
      <c r="B1762" s="88" t="s">
        <v>437</v>
      </c>
      <c r="C1762" s="66">
        <v>1</v>
      </c>
      <c r="D1762" s="66">
        <f t="shared" ref="D1762:D1767" si="679">C1762-G1762-H1762</f>
        <v>0.75</v>
      </c>
      <c r="E1762" s="66">
        <f t="shared" ref="E1762:E1767" si="680">D1762-F1762</f>
        <v>0.75</v>
      </c>
      <c r="F1762" s="67"/>
      <c r="G1762" s="60">
        <v>0.25</v>
      </c>
      <c r="H1762" s="68"/>
    </row>
    <row r="1763" spans="1:8" x14ac:dyDescent="0.25">
      <c r="A1763" s="61">
        <v>2</v>
      </c>
      <c r="B1763" s="88" t="s">
        <v>25</v>
      </c>
      <c r="C1763" s="66">
        <f>1+1-1</f>
        <v>1</v>
      </c>
      <c r="D1763" s="66">
        <f t="shared" si="679"/>
        <v>0.75</v>
      </c>
      <c r="E1763" s="66">
        <f t="shared" si="680"/>
        <v>0.75</v>
      </c>
      <c r="F1763" s="67"/>
      <c r="G1763" s="60">
        <v>0.25</v>
      </c>
      <c r="H1763" s="68"/>
    </row>
    <row r="1764" spans="1:8" x14ac:dyDescent="0.25">
      <c r="A1764" s="56">
        <v>3</v>
      </c>
      <c r="B1764" s="76" t="s">
        <v>438</v>
      </c>
      <c r="C1764" s="66">
        <v>1</v>
      </c>
      <c r="D1764" s="66">
        <f t="shared" si="679"/>
        <v>0.75</v>
      </c>
      <c r="E1764" s="66">
        <f t="shared" si="680"/>
        <v>0.75</v>
      </c>
      <c r="F1764" s="67"/>
      <c r="G1764" s="60">
        <v>0.25</v>
      </c>
      <c r="H1764" s="68"/>
    </row>
    <row r="1765" spans="1:8" x14ac:dyDescent="0.25">
      <c r="A1765" s="61">
        <v>4</v>
      </c>
      <c r="B1765" s="76" t="s">
        <v>439</v>
      </c>
      <c r="C1765" s="66">
        <v>1</v>
      </c>
      <c r="D1765" s="66">
        <f t="shared" si="679"/>
        <v>0.75</v>
      </c>
      <c r="E1765" s="66">
        <f t="shared" si="680"/>
        <v>0.75</v>
      </c>
      <c r="F1765" s="67"/>
      <c r="G1765" s="60">
        <v>0.25</v>
      </c>
      <c r="H1765" s="68"/>
    </row>
    <row r="1766" spans="1:8" x14ac:dyDescent="0.25">
      <c r="A1766" s="61">
        <v>5</v>
      </c>
      <c r="B1766" s="76" t="s">
        <v>440</v>
      </c>
      <c r="C1766" s="68">
        <f>4-1-1+1</f>
        <v>3</v>
      </c>
      <c r="D1766" s="68">
        <f t="shared" si="679"/>
        <v>2.25</v>
      </c>
      <c r="E1766" s="66">
        <f t="shared" si="680"/>
        <v>2.25</v>
      </c>
      <c r="F1766" s="71"/>
      <c r="G1766" s="60">
        <f>0.5+0.25</f>
        <v>0.75</v>
      </c>
      <c r="H1766" s="68"/>
    </row>
    <row r="1767" spans="1:8" x14ac:dyDescent="0.25">
      <c r="A1767" s="61">
        <v>6</v>
      </c>
      <c r="B1767" s="76" t="s">
        <v>299</v>
      </c>
      <c r="C1767" s="68">
        <f>2-1</f>
        <v>1</v>
      </c>
      <c r="D1767" s="68">
        <f t="shared" si="679"/>
        <v>1</v>
      </c>
      <c r="E1767" s="66">
        <f t="shared" si="680"/>
        <v>1</v>
      </c>
      <c r="F1767" s="71"/>
      <c r="G1767" s="60"/>
      <c r="H1767" s="68"/>
    </row>
    <row r="1768" spans="1:8" x14ac:dyDescent="0.25">
      <c r="A1768" s="123"/>
      <c r="B1768" s="72" t="s">
        <v>54</v>
      </c>
      <c r="C1768" s="73">
        <f t="shared" ref="C1768:H1768" si="681">SUM(C1762:C1767)</f>
        <v>8</v>
      </c>
      <c r="D1768" s="73">
        <f t="shared" si="681"/>
        <v>6.25</v>
      </c>
      <c r="E1768" s="73">
        <f t="shared" si="681"/>
        <v>6.25</v>
      </c>
      <c r="F1768" s="74">
        <f t="shared" si="681"/>
        <v>0</v>
      </c>
      <c r="G1768" s="73">
        <f t="shared" si="681"/>
        <v>1.75</v>
      </c>
      <c r="H1768" s="73">
        <f t="shared" si="681"/>
        <v>0</v>
      </c>
    </row>
    <row r="1769" spans="1:8" x14ac:dyDescent="0.25">
      <c r="A1769" s="61"/>
      <c r="B1769" s="33" t="s">
        <v>441</v>
      </c>
      <c r="C1769" s="68"/>
      <c r="D1769" s="68"/>
      <c r="E1769" s="68"/>
      <c r="F1769" s="71"/>
      <c r="G1769" s="60"/>
      <c r="H1769" s="61"/>
    </row>
    <row r="1770" spans="1:8" x14ac:dyDescent="0.25">
      <c r="A1770" s="61">
        <v>1</v>
      </c>
      <c r="B1770" s="76" t="s">
        <v>442</v>
      </c>
      <c r="C1770" s="68">
        <v>1</v>
      </c>
      <c r="D1770" s="68">
        <f>C1770-G1770-H1770</f>
        <v>0.75</v>
      </c>
      <c r="E1770" s="66">
        <f t="shared" ref="E1770:E1776" si="682">D1770-F1770</f>
        <v>0.75</v>
      </c>
      <c r="F1770" s="71"/>
      <c r="G1770" s="60">
        <v>0.25</v>
      </c>
      <c r="H1770" s="68"/>
    </row>
    <row r="1771" spans="1:8" x14ac:dyDescent="0.25">
      <c r="A1771" s="61">
        <v>2</v>
      </c>
      <c r="B1771" s="76" t="s">
        <v>443</v>
      </c>
      <c r="C1771" s="68">
        <f>2-1+1-1</f>
        <v>1</v>
      </c>
      <c r="D1771" s="68">
        <f>C1771-G1771-H1771</f>
        <v>0.75</v>
      </c>
      <c r="E1771" s="66">
        <f t="shared" si="682"/>
        <v>0.75</v>
      </c>
      <c r="F1771" s="71"/>
      <c r="G1771" s="60">
        <v>0.25</v>
      </c>
      <c r="H1771" s="68"/>
    </row>
    <row r="1772" spans="1:8" x14ac:dyDescent="0.25">
      <c r="A1772" s="61">
        <v>3</v>
      </c>
      <c r="B1772" s="76" t="s">
        <v>444</v>
      </c>
      <c r="C1772" s="68">
        <v>1</v>
      </c>
      <c r="D1772" s="68">
        <f>C1772-G1772-H1772</f>
        <v>0.75</v>
      </c>
      <c r="E1772" s="66">
        <f t="shared" si="682"/>
        <v>0.75</v>
      </c>
      <c r="F1772" s="71"/>
      <c r="G1772" s="60">
        <v>0.25</v>
      </c>
      <c r="H1772" s="68"/>
    </row>
    <row r="1773" spans="1:8" x14ac:dyDescent="0.25">
      <c r="A1773" s="61">
        <v>4</v>
      </c>
      <c r="B1773" s="76" t="s">
        <v>445</v>
      </c>
      <c r="C1773" s="68">
        <f>12+1+2+6+1+2-1+2+1+1</f>
        <v>27</v>
      </c>
      <c r="D1773" s="68">
        <f>C1773-G1773-H1773</f>
        <v>18</v>
      </c>
      <c r="E1773" s="66">
        <f t="shared" si="682"/>
        <v>18</v>
      </c>
      <c r="F1773" s="71"/>
      <c r="G1773" s="102">
        <f>5.75+2+0.25+1</f>
        <v>9</v>
      </c>
      <c r="H1773" s="68"/>
    </row>
    <row r="1774" spans="1:8" x14ac:dyDescent="0.25">
      <c r="A1774" s="61">
        <v>5</v>
      </c>
      <c r="B1774" s="76" t="s">
        <v>446</v>
      </c>
      <c r="C1774" s="68">
        <f>2-1</f>
        <v>1</v>
      </c>
      <c r="D1774" s="68">
        <f>C1774-G1774-H1774</f>
        <v>0.75</v>
      </c>
      <c r="E1774" s="66">
        <f t="shared" si="682"/>
        <v>0.75</v>
      </c>
      <c r="F1774" s="71"/>
      <c r="G1774" s="60">
        <v>0.25</v>
      </c>
      <c r="H1774" s="68"/>
    </row>
    <row r="1775" spans="1:8" x14ac:dyDescent="0.25">
      <c r="A1775" s="61">
        <v>6</v>
      </c>
      <c r="B1775" s="76" t="s">
        <v>499</v>
      </c>
      <c r="C1775" s="68">
        <v>1</v>
      </c>
      <c r="D1775" s="68">
        <v>0.75</v>
      </c>
      <c r="E1775" s="66">
        <f t="shared" si="682"/>
        <v>0.75</v>
      </c>
      <c r="F1775" s="71"/>
      <c r="G1775" s="60">
        <v>0.25</v>
      </c>
      <c r="H1775" s="68"/>
    </row>
    <row r="1776" spans="1:8" x14ac:dyDescent="0.25">
      <c r="A1776" s="61">
        <v>7</v>
      </c>
      <c r="B1776" s="76" t="s">
        <v>299</v>
      </c>
      <c r="C1776" s="66">
        <v>1</v>
      </c>
      <c r="D1776" s="66">
        <f>C1776-G1776-H1776</f>
        <v>1</v>
      </c>
      <c r="E1776" s="66">
        <f t="shared" si="682"/>
        <v>1</v>
      </c>
      <c r="F1776" s="67"/>
      <c r="G1776" s="102"/>
      <c r="H1776" s="68"/>
    </row>
    <row r="1777" spans="1:8" x14ac:dyDescent="0.25">
      <c r="A1777" s="123"/>
      <c r="B1777" s="72" t="s">
        <v>54</v>
      </c>
      <c r="C1777" s="73">
        <f t="shared" ref="C1777:H1777" si="683">SUM(C1770:C1776)</f>
        <v>33</v>
      </c>
      <c r="D1777" s="73">
        <f t="shared" si="683"/>
        <v>22.75</v>
      </c>
      <c r="E1777" s="73">
        <f t="shared" si="683"/>
        <v>22.75</v>
      </c>
      <c r="F1777" s="74">
        <f t="shared" si="683"/>
        <v>0</v>
      </c>
      <c r="G1777" s="73">
        <f t="shared" si="683"/>
        <v>10.25</v>
      </c>
      <c r="H1777" s="73">
        <f t="shared" si="683"/>
        <v>0</v>
      </c>
    </row>
    <row r="1778" spans="1:8" x14ac:dyDescent="0.25">
      <c r="A1778" s="62" t="s">
        <v>447</v>
      </c>
      <c r="B1778" s="60"/>
      <c r="C1778" s="68"/>
      <c r="D1778" s="68"/>
      <c r="E1778" s="68"/>
      <c r="F1778" s="71"/>
      <c r="G1778" s="60"/>
      <c r="H1778" s="61"/>
    </row>
    <row r="1779" spans="1:8" ht="26.25" x14ac:dyDescent="0.25">
      <c r="A1779" s="56">
        <v>1</v>
      </c>
      <c r="B1779" s="70" t="s">
        <v>643</v>
      </c>
      <c r="C1779" s="68">
        <v>1</v>
      </c>
      <c r="D1779" s="68">
        <f>C1779-G1779-H1779</f>
        <v>0.75</v>
      </c>
      <c r="E1779" s="66">
        <f>D1779-F1779</f>
        <v>0.75</v>
      </c>
      <c r="F1779" s="71"/>
      <c r="G1779" s="60">
        <v>0.25</v>
      </c>
      <c r="H1779" s="68"/>
    </row>
    <row r="1780" spans="1:8" x14ac:dyDescent="0.25">
      <c r="A1780" s="134"/>
      <c r="B1780" s="72" t="s">
        <v>54</v>
      </c>
      <c r="C1780" s="73">
        <f t="shared" ref="C1780:H1780" si="684">SUM(C1779:C1779)</f>
        <v>1</v>
      </c>
      <c r="D1780" s="73">
        <f t="shared" si="684"/>
        <v>0.75</v>
      </c>
      <c r="E1780" s="73">
        <f t="shared" si="684"/>
        <v>0.75</v>
      </c>
      <c r="F1780" s="74">
        <f t="shared" si="684"/>
        <v>0</v>
      </c>
      <c r="G1780" s="73">
        <f t="shared" si="684"/>
        <v>0.25</v>
      </c>
      <c r="H1780" s="73">
        <f t="shared" si="684"/>
        <v>0</v>
      </c>
    </row>
    <row r="1781" spans="1:8" x14ac:dyDescent="0.25">
      <c r="A1781" s="134"/>
      <c r="B1781" s="72"/>
      <c r="C1781" s="73"/>
      <c r="D1781" s="73"/>
      <c r="E1781" s="73"/>
      <c r="F1781" s="74"/>
      <c r="G1781" s="102"/>
      <c r="H1781" s="68"/>
    </row>
    <row r="1782" spans="1:8" x14ac:dyDescent="0.25">
      <c r="A1782" s="123"/>
      <c r="B1782" s="100" t="s">
        <v>448</v>
      </c>
      <c r="C1782" s="68"/>
      <c r="D1782" s="68"/>
      <c r="E1782" s="68"/>
      <c r="F1782" s="71"/>
      <c r="G1782" s="102"/>
      <c r="H1782" s="68"/>
    </row>
    <row r="1783" spans="1:8" x14ac:dyDescent="0.25">
      <c r="A1783" s="56">
        <v>2</v>
      </c>
      <c r="B1783" s="65" t="s">
        <v>449</v>
      </c>
      <c r="C1783" s="68">
        <v>1</v>
      </c>
      <c r="D1783" s="68">
        <f>C1783-G1783-H1783</f>
        <v>0.75</v>
      </c>
      <c r="E1783" s="66">
        <f>D1783-F1783</f>
        <v>0.75</v>
      </c>
      <c r="F1783" s="71"/>
      <c r="G1783" s="102">
        <v>0.25</v>
      </c>
      <c r="H1783" s="68"/>
    </row>
    <row r="1784" spans="1:8" x14ac:dyDescent="0.25">
      <c r="A1784" s="56">
        <v>3</v>
      </c>
      <c r="B1784" s="65" t="s">
        <v>450</v>
      </c>
      <c r="C1784" s="68">
        <v>1</v>
      </c>
      <c r="D1784" s="68">
        <f>C1784-G1784-H1784</f>
        <v>0.75</v>
      </c>
      <c r="E1784" s="66">
        <f>D1784-F1784</f>
        <v>0.75</v>
      </c>
      <c r="F1784" s="71"/>
      <c r="G1784" s="60">
        <v>0.25</v>
      </c>
      <c r="H1784" s="68"/>
    </row>
    <row r="1785" spans="1:8" x14ac:dyDescent="0.25">
      <c r="A1785" s="56">
        <v>4</v>
      </c>
      <c r="B1785" s="65" t="s">
        <v>451</v>
      </c>
      <c r="C1785" s="68">
        <v>0.5</v>
      </c>
      <c r="D1785" s="68">
        <f>C1785-G1785-H1785</f>
        <v>0.5</v>
      </c>
      <c r="E1785" s="66">
        <f>D1785-F1785</f>
        <v>0.5</v>
      </c>
      <c r="F1785" s="71"/>
      <c r="G1785" s="102"/>
      <c r="H1785" s="68"/>
    </row>
    <row r="1786" spans="1:8" x14ac:dyDescent="0.25">
      <c r="A1786" s="56"/>
      <c r="B1786" s="161" t="s">
        <v>54</v>
      </c>
      <c r="C1786" s="91">
        <f t="shared" ref="C1786:H1786" si="685">SUM(C1783:C1785)</f>
        <v>2.5</v>
      </c>
      <c r="D1786" s="91">
        <f t="shared" si="685"/>
        <v>2</v>
      </c>
      <c r="E1786" s="91">
        <f t="shared" si="685"/>
        <v>2</v>
      </c>
      <c r="F1786" s="92">
        <f t="shared" si="685"/>
        <v>0</v>
      </c>
      <c r="G1786" s="91">
        <f t="shared" si="685"/>
        <v>0.5</v>
      </c>
      <c r="H1786" s="91">
        <f t="shared" si="685"/>
        <v>0</v>
      </c>
    </row>
    <row r="1787" spans="1:8" x14ac:dyDescent="0.25">
      <c r="A1787" s="56"/>
      <c r="B1787" s="100" t="s">
        <v>452</v>
      </c>
      <c r="C1787" s="91"/>
      <c r="D1787" s="91"/>
      <c r="E1787" s="91"/>
      <c r="F1787" s="92"/>
      <c r="G1787" s="102"/>
      <c r="H1787" s="61"/>
    </row>
    <row r="1788" spans="1:8" x14ac:dyDescent="0.25">
      <c r="A1788" s="56">
        <v>5</v>
      </c>
      <c r="B1788" s="65" t="s">
        <v>453</v>
      </c>
      <c r="C1788" s="66">
        <v>1</v>
      </c>
      <c r="D1788" s="66">
        <f>C1788-G1788-H1788</f>
        <v>0</v>
      </c>
      <c r="E1788" s="66">
        <f>D1788-F1788</f>
        <v>0</v>
      </c>
      <c r="F1788" s="67"/>
      <c r="G1788" s="102">
        <v>0.25</v>
      </c>
      <c r="H1788" s="68">
        <f>1-0.25</f>
        <v>0.75</v>
      </c>
    </row>
    <row r="1789" spans="1:8" x14ac:dyDescent="0.25">
      <c r="A1789" s="56">
        <v>6</v>
      </c>
      <c r="B1789" s="65" t="s">
        <v>454</v>
      </c>
      <c r="C1789" s="66">
        <v>1</v>
      </c>
      <c r="D1789" s="66">
        <f>C1789-G1789-H1789</f>
        <v>0</v>
      </c>
      <c r="E1789" s="66">
        <f>D1789-F1789</f>
        <v>0</v>
      </c>
      <c r="F1789" s="67"/>
      <c r="G1789" s="102">
        <v>0.25</v>
      </c>
      <c r="H1789" s="68">
        <f>1-0.25</f>
        <v>0.75</v>
      </c>
    </row>
    <row r="1790" spans="1:8" x14ac:dyDescent="0.25">
      <c r="A1790" s="56">
        <v>7</v>
      </c>
      <c r="B1790" s="65" t="s">
        <v>455</v>
      </c>
      <c r="C1790" s="66">
        <f>48.75-20.25+2+2+2+0.5+1-1</f>
        <v>35</v>
      </c>
      <c r="D1790" s="66">
        <f>C1790-G1790-H1790</f>
        <v>27.5</v>
      </c>
      <c r="E1790" s="66">
        <f>D1790-F1790</f>
        <v>27.5</v>
      </c>
      <c r="F1790" s="67"/>
      <c r="G1790" s="102">
        <f>7+0.5+1-1</f>
        <v>7.5</v>
      </c>
      <c r="H1790" s="68"/>
    </row>
    <row r="1791" spans="1:8" x14ac:dyDescent="0.25">
      <c r="A1791" s="56"/>
      <c r="B1791" s="65" t="s">
        <v>54</v>
      </c>
      <c r="C1791" s="91">
        <f t="shared" ref="C1791:H1791" si="686">SUM(C1788:C1790)</f>
        <v>37</v>
      </c>
      <c r="D1791" s="91">
        <f t="shared" si="686"/>
        <v>27.5</v>
      </c>
      <c r="E1791" s="91">
        <f t="shared" si="686"/>
        <v>27.5</v>
      </c>
      <c r="F1791" s="92">
        <f t="shared" si="686"/>
        <v>0</v>
      </c>
      <c r="G1791" s="91">
        <f t="shared" si="686"/>
        <v>8</v>
      </c>
      <c r="H1791" s="91">
        <f t="shared" si="686"/>
        <v>1.5</v>
      </c>
    </row>
    <row r="1792" spans="1:8" x14ac:dyDescent="0.25">
      <c r="A1792" s="123"/>
      <c r="B1792" s="289" t="s">
        <v>456</v>
      </c>
      <c r="C1792" s="73">
        <f t="shared" ref="C1792:H1792" si="687">C1780+C1786+C1791</f>
        <v>40.5</v>
      </c>
      <c r="D1792" s="73">
        <f t="shared" si="687"/>
        <v>30.25</v>
      </c>
      <c r="E1792" s="73">
        <f t="shared" si="687"/>
        <v>30.25</v>
      </c>
      <c r="F1792" s="74">
        <f t="shared" si="687"/>
        <v>0</v>
      </c>
      <c r="G1792" s="73">
        <f t="shared" si="687"/>
        <v>8.75</v>
      </c>
      <c r="H1792" s="73">
        <f t="shared" si="687"/>
        <v>1.5</v>
      </c>
    </row>
    <row r="1793" spans="1:10" ht="31.15" customHeight="1" x14ac:dyDescent="0.25">
      <c r="A1793" s="669" t="s">
        <v>644</v>
      </c>
      <c r="B1793" s="669"/>
      <c r="C1793" s="136">
        <f t="shared" ref="C1793:H1793" si="688">C1792+C1777+C1768+C1760+C1722+C1713+C1699+C1693+C1683+C1679+C1656+C1647+C1642+C1686+C1727+C1731+C1737</f>
        <v>271</v>
      </c>
      <c r="D1793" s="136">
        <f t="shared" si="688"/>
        <v>141</v>
      </c>
      <c r="E1793" s="136">
        <f t="shared" si="688"/>
        <v>140</v>
      </c>
      <c r="F1793" s="202">
        <f t="shared" si="688"/>
        <v>1</v>
      </c>
      <c r="G1793" s="136">
        <f t="shared" si="688"/>
        <v>46</v>
      </c>
      <c r="H1793" s="136">
        <f t="shared" si="688"/>
        <v>84</v>
      </c>
      <c r="I1793" s="3">
        <f>SUM(E1793:H1793)</f>
        <v>271</v>
      </c>
    </row>
    <row r="1794" spans="1:10" ht="31.15" customHeight="1" x14ac:dyDescent="0.25">
      <c r="A1794" s="153"/>
      <c r="B1794" s="153" t="s">
        <v>457</v>
      </c>
      <c r="C1794" s="136">
        <f t="shared" ref="C1794:H1794" si="689">C1717+C1716+C1715</f>
        <v>2</v>
      </c>
      <c r="D1794" s="136">
        <f t="shared" si="689"/>
        <v>0</v>
      </c>
      <c r="E1794" s="136">
        <f t="shared" si="689"/>
        <v>0</v>
      </c>
      <c r="F1794" s="202">
        <f t="shared" si="689"/>
        <v>0</v>
      </c>
      <c r="G1794" s="136">
        <f t="shared" si="689"/>
        <v>0</v>
      </c>
      <c r="H1794" s="136">
        <f t="shared" si="689"/>
        <v>2</v>
      </c>
      <c r="I1794" s="3">
        <f>SUM(E1794:H1794)</f>
        <v>2</v>
      </c>
    </row>
    <row r="1795" spans="1:10" ht="18.75" x14ac:dyDescent="0.3">
      <c r="A1795" s="61"/>
      <c r="B1795" s="312" t="s">
        <v>458</v>
      </c>
      <c r="C1795" s="139">
        <f t="shared" ref="C1795:H1795" si="690">C1793+C1622+C1607+C1594+C1525+C1513+C1494+C1455+C1275+C1070+C864+C645+C613+C598+C258+C217+C75+C547+C423+C1481</f>
        <v>2221.5</v>
      </c>
      <c r="D1795" s="139">
        <f t="shared" si="690"/>
        <v>774</v>
      </c>
      <c r="E1795" s="139">
        <f t="shared" si="690"/>
        <v>422.5</v>
      </c>
      <c r="F1795" s="154">
        <f t="shared" si="690"/>
        <v>351.5</v>
      </c>
      <c r="G1795" s="139">
        <f t="shared" si="690"/>
        <v>1107</v>
      </c>
      <c r="H1795" s="139">
        <f t="shared" si="690"/>
        <v>340.5</v>
      </c>
      <c r="I1795" s="3">
        <f>SUM(E1795:H1795)</f>
        <v>2221.5</v>
      </c>
    </row>
    <row r="1796" spans="1:10" ht="15.75" x14ac:dyDescent="0.25">
      <c r="A1796" s="61"/>
      <c r="B1796" s="313" t="s">
        <v>131</v>
      </c>
      <c r="C1796" s="83">
        <f t="shared" ref="C1796:H1796" si="691">SUM(C1797:C1802)</f>
        <v>2221.5</v>
      </c>
      <c r="D1796" s="83">
        <f t="shared" si="691"/>
        <v>774</v>
      </c>
      <c r="E1796" s="83">
        <f t="shared" si="691"/>
        <v>422.5</v>
      </c>
      <c r="F1796" s="84">
        <f t="shared" si="691"/>
        <v>351.5</v>
      </c>
      <c r="G1796" s="83">
        <f t="shared" si="691"/>
        <v>1107</v>
      </c>
      <c r="H1796" s="83">
        <f t="shared" si="691"/>
        <v>340.5</v>
      </c>
      <c r="I1796" s="3">
        <f t="shared" ref="I1796:I1802" si="692">SUM(E1796:H1796)</f>
        <v>2221.5</v>
      </c>
      <c r="J1796" s="3"/>
    </row>
    <row r="1797" spans="1:10" x14ac:dyDescent="0.25">
      <c r="A1797" s="61"/>
      <c r="B1797" s="138" t="s">
        <v>28</v>
      </c>
      <c r="C1797" s="139">
        <f t="shared" ref="C1797:H1797" si="693">C1609+C1596+C1527+C1515+C1496+C1457+C1277+C1072+C866+C647+C614+C600+C260+C219+C77+C1717+C549+C425+C1716+C1715+C1483</f>
        <v>496.75</v>
      </c>
      <c r="D1797" s="139">
        <f t="shared" si="693"/>
        <v>148.25</v>
      </c>
      <c r="E1797" s="139">
        <f t="shared" si="693"/>
        <v>53.5</v>
      </c>
      <c r="F1797" s="154">
        <f t="shared" si="693"/>
        <v>94.75</v>
      </c>
      <c r="G1797" s="139">
        <f t="shared" si="693"/>
        <v>271.75</v>
      </c>
      <c r="H1797" s="139">
        <f t="shared" si="693"/>
        <v>76.75</v>
      </c>
      <c r="I1797" s="3">
        <f t="shared" si="692"/>
        <v>496.75</v>
      </c>
    </row>
    <row r="1798" spans="1:10" x14ac:dyDescent="0.25">
      <c r="A1798" s="61"/>
      <c r="B1798" s="138" t="s">
        <v>36</v>
      </c>
      <c r="C1798" s="139">
        <f t="shared" ref="C1798:H1798" si="694">C1610+C1597+C1528+C1516+C1497+C1458+C1278+C1073+C867+C648+C615+C602+C551+C427+C262+C221+C78+C1484</f>
        <v>770.25</v>
      </c>
      <c r="D1798" s="139">
        <f t="shared" si="694"/>
        <v>224.5</v>
      </c>
      <c r="E1798" s="139">
        <f t="shared" si="694"/>
        <v>48</v>
      </c>
      <c r="F1798" s="154">
        <f t="shared" si="694"/>
        <v>176.5</v>
      </c>
      <c r="G1798" s="139">
        <f t="shared" si="694"/>
        <v>442.5</v>
      </c>
      <c r="H1798" s="139">
        <f t="shared" si="694"/>
        <v>103.25</v>
      </c>
      <c r="I1798" s="3">
        <f t="shared" si="692"/>
        <v>770.25</v>
      </c>
    </row>
    <row r="1799" spans="1:10" x14ac:dyDescent="0.25">
      <c r="A1799" s="61"/>
      <c r="B1799" s="305" t="s">
        <v>340</v>
      </c>
      <c r="C1799" s="139">
        <f t="shared" ref="C1799:H1799" si="695">C1626+C1611+C1598+C1529+C1517+C1498+C1459+C1279+C1074+C868+C649+C603+C428+C552+C263+C222+C79+C1485</f>
        <v>358.25</v>
      </c>
      <c r="D1799" s="139">
        <f t="shared" si="695"/>
        <v>93.25</v>
      </c>
      <c r="E1799" s="139">
        <f t="shared" si="695"/>
        <v>14</v>
      </c>
      <c r="F1799" s="154">
        <f t="shared" si="695"/>
        <v>79.25</v>
      </c>
      <c r="G1799" s="139">
        <f t="shared" si="695"/>
        <v>204.75</v>
      </c>
      <c r="H1799" s="139">
        <f t="shared" si="695"/>
        <v>60.25</v>
      </c>
      <c r="I1799" s="3">
        <f t="shared" si="692"/>
        <v>358.25</v>
      </c>
    </row>
    <row r="1800" spans="1:10" x14ac:dyDescent="0.25">
      <c r="A1800" s="61"/>
      <c r="B1800" s="138" t="s">
        <v>459</v>
      </c>
      <c r="C1800" s="139">
        <f t="shared" ref="C1800:H1801" si="696">C1624</f>
        <v>6</v>
      </c>
      <c r="D1800" s="139">
        <f t="shared" si="696"/>
        <v>4.75</v>
      </c>
      <c r="E1800" s="139">
        <f t="shared" si="696"/>
        <v>4.75</v>
      </c>
      <c r="F1800" s="154">
        <f t="shared" si="696"/>
        <v>0</v>
      </c>
      <c r="G1800" s="139">
        <f t="shared" si="696"/>
        <v>1.25</v>
      </c>
      <c r="H1800" s="139">
        <f t="shared" si="696"/>
        <v>0</v>
      </c>
      <c r="I1800" s="3">
        <f t="shared" si="692"/>
        <v>6</v>
      </c>
    </row>
    <row r="1801" spans="1:10" ht="29.25" x14ac:dyDescent="0.25">
      <c r="A1801" s="61"/>
      <c r="B1801" s="153" t="s">
        <v>645</v>
      </c>
      <c r="C1801" s="139">
        <f t="shared" si="696"/>
        <v>13</v>
      </c>
      <c r="D1801" s="139">
        <f t="shared" si="696"/>
        <v>9.75</v>
      </c>
      <c r="E1801" s="139">
        <f t="shared" si="696"/>
        <v>9.75</v>
      </c>
      <c r="F1801" s="154">
        <f t="shared" si="696"/>
        <v>0</v>
      </c>
      <c r="G1801" s="139">
        <f t="shared" si="696"/>
        <v>3.25</v>
      </c>
      <c r="H1801" s="139">
        <f t="shared" si="696"/>
        <v>0</v>
      </c>
      <c r="I1801" s="3">
        <f t="shared" si="692"/>
        <v>13</v>
      </c>
    </row>
    <row r="1802" spans="1:10" x14ac:dyDescent="0.25">
      <c r="A1802" s="61"/>
      <c r="B1802" s="138" t="s">
        <v>30</v>
      </c>
      <c r="C1802" s="139">
        <f t="shared" ref="C1802:H1802" si="697">C1793+C1627+C1460+C1280+C1075+C869+C650+C80+C1612+C604+C553+C429-C1717+C264+C223-C1716-C1715+C1518</f>
        <v>577.25</v>
      </c>
      <c r="D1802" s="139">
        <f t="shared" si="697"/>
        <v>293.5</v>
      </c>
      <c r="E1802" s="139">
        <f t="shared" si="697"/>
        <v>292.5</v>
      </c>
      <c r="F1802" s="154">
        <f t="shared" si="697"/>
        <v>1</v>
      </c>
      <c r="G1802" s="139">
        <f t="shared" si="697"/>
        <v>183.5</v>
      </c>
      <c r="H1802" s="139">
        <f t="shared" si="697"/>
        <v>100.25</v>
      </c>
      <c r="I1802" s="3">
        <f t="shared" si="692"/>
        <v>577.25</v>
      </c>
    </row>
    <row r="1803" spans="1:10" x14ac:dyDescent="0.25">
      <c r="A1803" s="61"/>
      <c r="B1803" s="138"/>
      <c r="C1803" s="139"/>
      <c r="D1803" s="139"/>
      <c r="E1803" s="139"/>
      <c r="F1803" s="154"/>
      <c r="G1803" s="60"/>
      <c r="H1803" s="61"/>
    </row>
    <row r="1804" spans="1:10" x14ac:dyDescent="0.25">
      <c r="A1804" s="61"/>
      <c r="B1804" s="60"/>
      <c r="C1804" s="68"/>
      <c r="D1804" s="68"/>
      <c r="E1804" s="68"/>
      <c r="F1804" s="71"/>
      <c r="G1804" s="60"/>
      <c r="H1804" s="61"/>
    </row>
    <row r="1805" spans="1:10" x14ac:dyDescent="0.25">
      <c r="A1805" s="61"/>
      <c r="B1805" s="303" t="s">
        <v>460</v>
      </c>
      <c r="C1805" s="139">
        <f t="shared" ref="C1805:H1805" si="698">C218+C258+C423+C547+C598</f>
        <v>434.75</v>
      </c>
      <c r="D1805" s="139">
        <f t="shared" si="698"/>
        <v>84.25</v>
      </c>
      <c r="E1805" s="139">
        <f t="shared" si="698"/>
        <v>84.25</v>
      </c>
      <c r="F1805" s="154">
        <f t="shared" si="698"/>
        <v>0</v>
      </c>
      <c r="G1805" s="139">
        <f t="shared" si="698"/>
        <v>288.75</v>
      </c>
      <c r="H1805" s="139">
        <f t="shared" si="698"/>
        <v>61.75</v>
      </c>
      <c r="I1805" s="3">
        <f t="shared" ref="I1805:I1811" si="699">SUM(E1805:H1805)</f>
        <v>434.75</v>
      </c>
    </row>
    <row r="1806" spans="1:10" x14ac:dyDescent="0.25">
      <c r="A1806" s="61"/>
      <c r="B1806" s="138"/>
      <c r="C1806" s="83">
        <f t="shared" ref="C1806:H1806" si="700">SUM(C1809:C1811)+C1807</f>
        <v>434.75</v>
      </c>
      <c r="D1806" s="83">
        <f t="shared" si="700"/>
        <v>84.25</v>
      </c>
      <c r="E1806" s="83">
        <f t="shared" si="700"/>
        <v>84.25</v>
      </c>
      <c r="F1806" s="84">
        <f t="shared" si="700"/>
        <v>0</v>
      </c>
      <c r="G1806" s="83">
        <f t="shared" si="700"/>
        <v>288.75</v>
      </c>
      <c r="H1806" s="83">
        <f t="shared" si="700"/>
        <v>61.75</v>
      </c>
      <c r="I1806" s="3">
        <f t="shared" si="699"/>
        <v>434.75</v>
      </c>
    </row>
    <row r="1807" spans="1:10" x14ac:dyDescent="0.25">
      <c r="A1807" s="61"/>
      <c r="B1807" s="157" t="s">
        <v>461</v>
      </c>
      <c r="C1807" s="139">
        <f t="shared" ref="C1807:H1809" si="701">C219+C260+C549+C425+C600</f>
        <v>156</v>
      </c>
      <c r="D1807" s="139">
        <f t="shared" si="701"/>
        <v>27.75</v>
      </c>
      <c r="E1807" s="139">
        <f t="shared" si="701"/>
        <v>27.75</v>
      </c>
      <c r="F1807" s="154">
        <f t="shared" si="701"/>
        <v>0</v>
      </c>
      <c r="G1807" s="139">
        <f t="shared" si="701"/>
        <v>97.25</v>
      </c>
      <c r="H1807" s="139">
        <f t="shared" si="701"/>
        <v>31</v>
      </c>
      <c r="I1807" s="3">
        <f t="shared" si="699"/>
        <v>156</v>
      </c>
    </row>
    <row r="1808" spans="1:10" x14ac:dyDescent="0.25">
      <c r="A1808" s="61"/>
      <c r="B1808" s="99" t="s">
        <v>462</v>
      </c>
      <c r="C1808" s="139">
        <f t="shared" si="701"/>
        <v>83.25</v>
      </c>
      <c r="D1808" s="139">
        <f t="shared" si="701"/>
        <v>6.25</v>
      </c>
      <c r="E1808" s="139">
        <f t="shared" si="701"/>
        <v>6.25</v>
      </c>
      <c r="F1808" s="154">
        <f t="shared" si="701"/>
        <v>1.25</v>
      </c>
      <c r="G1808" s="139">
        <f t="shared" si="701"/>
        <v>67.75</v>
      </c>
      <c r="H1808" s="139">
        <f t="shared" si="701"/>
        <v>9.25</v>
      </c>
      <c r="I1808" s="3">
        <f t="shared" si="699"/>
        <v>84.5</v>
      </c>
    </row>
    <row r="1809" spans="1:9" x14ac:dyDescent="0.25">
      <c r="A1809" s="61"/>
      <c r="B1809" s="157" t="s">
        <v>36</v>
      </c>
      <c r="C1809" s="139">
        <f t="shared" si="701"/>
        <v>161.75</v>
      </c>
      <c r="D1809" s="139">
        <f t="shared" si="701"/>
        <v>29</v>
      </c>
      <c r="E1809" s="139">
        <f t="shared" si="701"/>
        <v>29</v>
      </c>
      <c r="F1809" s="154">
        <f t="shared" si="701"/>
        <v>0</v>
      </c>
      <c r="G1809" s="139">
        <f t="shared" si="701"/>
        <v>109.25</v>
      </c>
      <c r="H1809" s="139">
        <f t="shared" si="701"/>
        <v>23.5</v>
      </c>
      <c r="I1809" s="3">
        <f t="shared" si="699"/>
        <v>161.75</v>
      </c>
    </row>
    <row r="1810" spans="1:9" x14ac:dyDescent="0.25">
      <c r="A1810" s="61"/>
      <c r="B1810" s="157" t="s">
        <v>340</v>
      </c>
      <c r="C1810" s="139">
        <f t="shared" ref="C1810:H1810" si="702">C222+C263+C428+C552+C603</f>
        <v>46.25</v>
      </c>
      <c r="D1810" s="139">
        <f t="shared" si="702"/>
        <v>5.25</v>
      </c>
      <c r="E1810" s="139">
        <f t="shared" si="702"/>
        <v>5.25</v>
      </c>
      <c r="F1810" s="154">
        <f t="shared" si="702"/>
        <v>0</v>
      </c>
      <c r="G1810" s="139">
        <f t="shared" si="702"/>
        <v>39.25</v>
      </c>
      <c r="H1810" s="139">
        <f t="shared" si="702"/>
        <v>1.75</v>
      </c>
      <c r="I1810" s="3">
        <f t="shared" si="699"/>
        <v>46.25</v>
      </c>
    </row>
    <row r="1811" spans="1:9" x14ac:dyDescent="0.25">
      <c r="A1811" s="61"/>
      <c r="B1811" s="157" t="s">
        <v>30</v>
      </c>
      <c r="C1811" s="139">
        <f t="shared" ref="C1811:H1811" si="703">C604+C264+C553+C429+C223</f>
        <v>70.75</v>
      </c>
      <c r="D1811" s="139">
        <f t="shared" si="703"/>
        <v>22.25</v>
      </c>
      <c r="E1811" s="139">
        <f t="shared" si="703"/>
        <v>22.25</v>
      </c>
      <c r="F1811" s="154">
        <f t="shared" si="703"/>
        <v>0</v>
      </c>
      <c r="G1811" s="139">
        <f t="shared" si="703"/>
        <v>43</v>
      </c>
      <c r="H1811" s="139">
        <f t="shared" si="703"/>
        <v>5.5</v>
      </c>
      <c r="I1811" s="3">
        <f t="shared" si="699"/>
        <v>70.75</v>
      </c>
    </row>
    <row r="1812" spans="1:9" ht="15.75" x14ac:dyDescent="0.25">
      <c r="A1812" s="316" t="s">
        <v>646</v>
      </c>
      <c r="B1812" s="314"/>
      <c r="C1812" s="5"/>
      <c r="D1812" s="315" t="s">
        <v>463</v>
      </c>
      <c r="E1812" s="315"/>
      <c r="F1812" s="315"/>
      <c r="G1812" s="317" t="s">
        <v>502</v>
      </c>
      <c r="H1812" s="47"/>
    </row>
    <row r="1814" spans="1:9" x14ac:dyDescent="0.25">
      <c r="A1814" s="316" t="s">
        <v>464</v>
      </c>
      <c r="B1814" s="5"/>
      <c r="C1814" s="5"/>
      <c r="D1814" s="5"/>
      <c r="E1814" s="5"/>
      <c r="F1814" s="5"/>
      <c r="G1814" s="5"/>
      <c r="H1814" s="47"/>
    </row>
    <row r="1815" spans="1:9" x14ac:dyDescent="0.25">
      <c r="A1815" s="5"/>
      <c r="B1815" s="5"/>
      <c r="C1815" s="5"/>
      <c r="D1815" s="5"/>
      <c r="E1815" s="5"/>
      <c r="F1815" s="5"/>
      <c r="G1815" s="5"/>
      <c r="H1815" s="47"/>
    </row>
  </sheetData>
  <mergeCells count="14">
    <mergeCell ref="A1355:C1355"/>
    <mergeCell ref="A1793:B1793"/>
    <mergeCell ref="D18:H18"/>
    <mergeCell ref="B266:C266"/>
    <mergeCell ref="A1312:C1312"/>
    <mergeCell ref="A1327:C1327"/>
    <mergeCell ref="A1341:C1341"/>
    <mergeCell ref="A627:C627"/>
    <mergeCell ref="A666:C666"/>
    <mergeCell ref="A732:C732"/>
    <mergeCell ref="A760:C760"/>
    <mergeCell ref="A18:A19"/>
    <mergeCell ref="B18:B19"/>
    <mergeCell ref="C18:C19"/>
  </mergeCells>
  <pageMargins left="0.70866141732283472" right="0" top="0.74803149606299213" bottom="0.74803149606299213" header="0.31496062992125984" footer="0.31496062992125984"/>
  <pageSetup paperSize="9" orientation="portrait" verticalDpi="4294967295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403"/>
  <sheetViews>
    <sheetView tabSelected="1" zoomScale="110" zoomScaleNormal="110" workbookViewId="0">
      <pane xSplit="2" ySplit="1" topLeftCell="C482" activePane="bottomRight" state="frozen"/>
      <selection pane="topRight" activeCell="C1" sqref="C1"/>
      <selection pane="bottomLeft" activeCell="A2" sqref="A2"/>
      <selection pane="bottomRight" activeCell="D493" sqref="D493"/>
    </sheetView>
  </sheetViews>
  <sheetFormatPr defaultRowHeight="15" x14ac:dyDescent="0.25"/>
  <cols>
    <col min="1" max="1" width="4.28515625" style="1" customWidth="1"/>
    <col min="2" max="2" width="61.140625" customWidth="1"/>
    <col min="3" max="3" width="56.85546875" style="445" customWidth="1"/>
    <col min="4" max="4" width="43.140625" style="418" customWidth="1"/>
    <col min="5" max="16384" width="9.140625" style="4"/>
  </cols>
  <sheetData>
    <row r="1" spans="1:4" s="592" customFormat="1" ht="15" customHeight="1" x14ac:dyDescent="0.25">
      <c r="A1" s="588" t="s">
        <v>8</v>
      </c>
      <c r="B1" s="589" t="s">
        <v>9</v>
      </c>
      <c r="C1" s="590" t="s">
        <v>673</v>
      </c>
      <c r="D1" s="591" t="s">
        <v>1289</v>
      </c>
    </row>
    <row r="2" spans="1:4" s="495" customFormat="1" ht="15.75" customHeight="1" x14ac:dyDescent="0.25">
      <c r="A2" s="334"/>
      <c r="B2" s="506" t="s">
        <v>14</v>
      </c>
      <c r="C2" s="356"/>
      <c r="D2" s="498"/>
    </row>
    <row r="3" spans="1:4" s="495" customFormat="1" ht="15" customHeight="1" x14ac:dyDescent="0.25">
      <c r="A3" s="334"/>
      <c r="B3" s="363" t="s">
        <v>15</v>
      </c>
      <c r="C3" s="454"/>
      <c r="D3" s="498"/>
    </row>
    <row r="4" spans="1:4" s="495" customFormat="1" ht="15" customHeight="1" x14ac:dyDescent="0.25">
      <c r="A4" s="334">
        <v>1</v>
      </c>
      <c r="B4" s="335" t="s">
        <v>572</v>
      </c>
      <c r="C4" s="338" t="s">
        <v>1857</v>
      </c>
      <c r="D4" s="498"/>
    </row>
    <row r="5" spans="1:4" s="495" customFormat="1" ht="15" customHeight="1" x14ac:dyDescent="0.25">
      <c r="A5" s="334">
        <v>2</v>
      </c>
      <c r="B5" s="337" t="s">
        <v>16</v>
      </c>
      <c r="C5" s="338" t="s">
        <v>1864</v>
      </c>
      <c r="D5" s="562"/>
    </row>
    <row r="6" spans="1:4" s="495" customFormat="1" ht="15" customHeight="1" x14ac:dyDescent="0.25">
      <c r="A6" s="334">
        <v>3</v>
      </c>
      <c r="B6" s="339" t="s">
        <v>573</v>
      </c>
      <c r="C6" s="338" t="s">
        <v>1861</v>
      </c>
      <c r="D6" s="562"/>
    </row>
    <row r="7" spans="1:4" s="495" customFormat="1" ht="15" customHeight="1" x14ac:dyDescent="0.25">
      <c r="A7" s="334">
        <v>4</v>
      </c>
      <c r="B7" s="339" t="s">
        <v>654</v>
      </c>
      <c r="C7" s="338" t="s">
        <v>1858</v>
      </c>
      <c r="D7" s="562"/>
    </row>
    <row r="8" spans="1:4" s="495" customFormat="1" ht="26.25" customHeight="1" x14ac:dyDescent="0.25">
      <c r="A8" s="334">
        <v>5</v>
      </c>
      <c r="B8" s="339" t="s">
        <v>535</v>
      </c>
      <c r="C8" s="338" t="s">
        <v>1859</v>
      </c>
      <c r="D8" s="498"/>
    </row>
    <row r="9" spans="1:4" s="495" customFormat="1" ht="26.25" customHeight="1" x14ac:dyDescent="0.25">
      <c r="A9" s="340">
        <v>6</v>
      </c>
      <c r="B9" s="339" t="s">
        <v>17</v>
      </c>
      <c r="C9" s="338" t="s">
        <v>1860</v>
      </c>
      <c r="D9" s="498"/>
    </row>
    <row r="10" spans="1:4" s="587" customFormat="1" ht="39" customHeight="1" x14ac:dyDescent="0.25">
      <c r="A10" s="481"/>
      <c r="B10" s="623" t="s">
        <v>550</v>
      </c>
      <c r="C10" s="471" t="s">
        <v>1337</v>
      </c>
      <c r="D10" s="582" t="s">
        <v>1576</v>
      </c>
    </row>
    <row r="11" spans="1:4" s="495" customFormat="1" ht="15" customHeight="1" x14ac:dyDescent="0.25">
      <c r="A11" s="340">
        <v>7</v>
      </c>
      <c r="B11" s="335" t="s">
        <v>18</v>
      </c>
      <c r="C11" s="338" t="s">
        <v>1863</v>
      </c>
      <c r="D11" s="498"/>
    </row>
    <row r="12" spans="1:4" s="495" customFormat="1" ht="15" customHeight="1" x14ac:dyDescent="0.25">
      <c r="A12" s="341">
        <v>8</v>
      </c>
      <c r="B12" s="335" t="s">
        <v>19</v>
      </c>
      <c r="C12" s="338" t="s">
        <v>1862</v>
      </c>
      <c r="D12" s="498"/>
    </row>
    <row r="13" spans="1:4" s="495" customFormat="1" ht="15" customHeight="1" x14ac:dyDescent="0.25">
      <c r="A13" s="341">
        <v>9</v>
      </c>
      <c r="B13" s="335" t="s">
        <v>240</v>
      </c>
      <c r="C13" s="338" t="s">
        <v>1582</v>
      </c>
      <c r="D13" s="563"/>
    </row>
    <row r="14" spans="1:4" s="495" customFormat="1" ht="15" customHeight="1" x14ac:dyDescent="0.25">
      <c r="A14" s="341"/>
      <c r="B14" s="538" t="s">
        <v>247</v>
      </c>
      <c r="C14" s="338"/>
      <c r="D14" s="563"/>
    </row>
    <row r="15" spans="1:4" s="495" customFormat="1" ht="15" customHeight="1" x14ac:dyDescent="0.25">
      <c r="A15" s="341"/>
      <c r="B15" s="335" t="s">
        <v>646</v>
      </c>
      <c r="C15" s="338" t="s">
        <v>1596</v>
      </c>
      <c r="D15" s="563"/>
    </row>
    <row r="16" spans="1:4" s="495" customFormat="1" ht="15" customHeight="1" x14ac:dyDescent="0.25">
      <c r="A16" s="341"/>
      <c r="B16" s="335" t="s">
        <v>489</v>
      </c>
      <c r="C16" s="338" t="s">
        <v>1597</v>
      </c>
      <c r="D16" s="563"/>
    </row>
    <row r="17" spans="1:4" s="495" customFormat="1" ht="15" customHeight="1" x14ac:dyDescent="0.25">
      <c r="A17" s="341"/>
      <c r="B17" s="335" t="s">
        <v>490</v>
      </c>
      <c r="C17" s="338" t="s">
        <v>1598</v>
      </c>
      <c r="D17" s="563"/>
    </row>
    <row r="18" spans="1:4" s="495" customFormat="1" ht="15" customHeight="1" x14ac:dyDescent="0.25">
      <c r="A18" s="341"/>
      <c r="B18" s="335" t="s">
        <v>25</v>
      </c>
      <c r="C18" s="338" t="s">
        <v>1599</v>
      </c>
      <c r="D18" s="563"/>
    </row>
    <row r="19" spans="1:4" s="495" customFormat="1" ht="15" customHeight="1" x14ac:dyDescent="0.25">
      <c r="A19" s="341"/>
      <c r="B19" s="335" t="s">
        <v>558</v>
      </c>
      <c r="C19" s="338" t="s">
        <v>1600</v>
      </c>
      <c r="D19" s="563"/>
    </row>
    <row r="20" spans="1:4" s="495" customFormat="1" ht="15" customHeight="1" x14ac:dyDescent="0.25">
      <c r="A20" s="341"/>
      <c r="B20" s="335" t="s">
        <v>632</v>
      </c>
      <c r="C20" s="338" t="s">
        <v>1601</v>
      </c>
      <c r="D20" s="563"/>
    </row>
    <row r="21" spans="1:4" s="495" customFormat="1" ht="15" customHeight="1" x14ac:dyDescent="0.25">
      <c r="A21" s="341"/>
      <c r="B21" s="335" t="s">
        <v>493</v>
      </c>
      <c r="C21" s="338" t="s">
        <v>1602</v>
      </c>
      <c r="D21" s="563"/>
    </row>
    <row r="22" spans="1:4" s="495" customFormat="1" ht="15" customHeight="1" x14ac:dyDescent="0.25">
      <c r="A22" s="334"/>
      <c r="B22" s="351" t="s">
        <v>522</v>
      </c>
      <c r="C22" s="453"/>
      <c r="D22" s="498"/>
    </row>
    <row r="23" spans="1:4" s="495" customFormat="1" ht="15" customHeight="1" x14ac:dyDescent="0.25">
      <c r="A23" s="334">
        <v>1</v>
      </c>
      <c r="B23" s="350" t="s">
        <v>523</v>
      </c>
      <c r="C23" s="537" t="s">
        <v>1583</v>
      </c>
      <c r="D23" s="564"/>
    </row>
    <row r="24" spans="1:4" s="495" customFormat="1" ht="15" customHeight="1" x14ac:dyDescent="0.25">
      <c r="A24" s="334">
        <v>2</v>
      </c>
      <c r="B24" s="350" t="s">
        <v>64</v>
      </c>
      <c r="C24" s="537" t="s">
        <v>1584</v>
      </c>
      <c r="D24" s="564"/>
    </row>
    <row r="25" spans="1:4" s="495" customFormat="1" ht="15" customHeight="1" x14ac:dyDescent="0.25">
      <c r="A25" s="334">
        <v>4</v>
      </c>
      <c r="B25" s="350" t="s">
        <v>653</v>
      </c>
      <c r="C25" s="537" t="s">
        <v>1585</v>
      </c>
      <c r="D25" s="564"/>
    </row>
    <row r="26" spans="1:4" s="495" customFormat="1" ht="15" customHeight="1" x14ac:dyDescent="0.25">
      <c r="A26" s="340"/>
      <c r="B26" s="354" t="s">
        <v>21</v>
      </c>
      <c r="C26" s="507"/>
      <c r="D26" s="498"/>
    </row>
    <row r="27" spans="1:4" s="495" customFormat="1" ht="15" customHeight="1" x14ac:dyDescent="0.25">
      <c r="A27" s="340">
        <v>1</v>
      </c>
      <c r="B27" s="474" t="s">
        <v>22</v>
      </c>
      <c r="C27" s="475" t="s">
        <v>1865</v>
      </c>
      <c r="D27" s="565"/>
    </row>
    <row r="28" spans="1:4" s="495" customFormat="1" ht="15" customHeight="1" x14ac:dyDescent="0.25">
      <c r="A28" s="340">
        <v>2</v>
      </c>
      <c r="B28" s="339" t="s">
        <v>23</v>
      </c>
      <c r="C28" s="494" t="s">
        <v>1866</v>
      </c>
      <c r="D28" s="562"/>
    </row>
    <row r="29" spans="1:4" s="495" customFormat="1" ht="15" customHeight="1" x14ac:dyDescent="0.25">
      <c r="A29" s="340">
        <v>3</v>
      </c>
      <c r="B29" s="339" t="s">
        <v>64</v>
      </c>
      <c r="C29" s="494" t="s">
        <v>1868</v>
      </c>
      <c r="D29" s="562"/>
    </row>
    <row r="30" spans="1:4" s="587" customFormat="1" ht="30.75" customHeight="1" x14ac:dyDescent="0.25">
      <c r="A30" s="481">
        <v>4</v>
      </c>
      <c r="B30" s="618" t="s">
        <v>24</v>
      </c>
      <c r="C30" s="599" t="s">
        <v>1337</v>
      </c>
      <c r="D30" s="471" t="s">
        <v>2104</v>
      </c>
    </row>
    <row r="31" spans="1:4" s="495" customFormat="1" ht="15" customHeight="1" x14ac:dyDescent="0.25">
      <c r="A31" s="340">
        <v>5</v>
      </c>
      <c r="B31" s="350" t="s">
        <v>25</v>
      </c>
      <c r="C31" s="338" t="s">
        <v>1869</v>
      </c>
      <c r="D31" s="498"/>
    </row>
    <row r="32" spans="1:4" s="495" customFormat="1" ht="15" customHeight="1" x14ac:dyDescent="0.25">
      <c r="A32" s="340">
        <v>6</v>
      </c>
      <c r="B32" s="335" t="s">
        <v>26</v>
      </c>
      <c r="C32" s="338" t="s">
        <v>1867</v>
      </c>
      <c r="D32" s="498"/>
    </row>
    <row r="33" spans="1:4" s="495" customFormat="1" ht="31.5" customHeight="1" x14ac:dyDescent="0.25">
      <c r="A33" s="547" t="s">
        <v>672</v>
      </c>
      <c r="B33" s="548"/>
      <c r="C33" s="453"/>
      <c r="D33" s="498"/>
    </row>
    <row r="34" spans="1:4" s="495" customFormat="1" ht="15" customHeight="1" x14ac:dyDescent="0.25">
      <c r="A34" s="476">
        <v>1</v>
      </c>
      <c r="B34" s="359" t="s">
        <v>662</v>
      </c>
      <c r="C34" s="338" t="s">
        <v>1870</v>
      </c>
      <c r="D34" s="430"/>
    </row>
    <row r="35" spans="1:4" s="495" customFormat="1" ht="15" customHeight="1" x14ac:dyDescent="0.25">
      <c r="A35" s="340">
        <v>2</v>
      </c>
      <c r="B35" s="353" t="s">
        <v>527</v>
      </c>
      <c r="C35" s="338" t="s">
        <v>1586</v>
      </c>
      <c r="D35" s="430"/>
    </row>
    <row r="36" spans="1:4" s="495" customFormat="1" ht="15" customHeight="1" x14ac:dyDescent="0.25">
      <c r="A36" s="340">
        <v>3</v>
      </c>
      <c r="B36" s="353" t="s">
        <v>189</v>
      </c>
      <c r="C36" s="338" t="s">
        <v>1587</v>
      </c>
      <c r="D36" s="562"/>
    </row>
    <row r="37" spans="1:4" s="495" customFormat="1" ht="15" customHeight="1" x14ac:dyDescent="0.25">
      <c r="A37" s="523"/>
      <c r="B37" s="351" t="s">
        <v>1791</v>
      </c>
      <c r="C37" s="453"/>
      <c r="D37" s="498"/>
    </row>
    <row r="38" spans="1:4" s="495" customFormat="1" ht="16.5" customHeight="1" x14ac:dyDescent="0.25">
      <c r="A38" s="334">
        <v>1</v>
      </c>
      <c r="B38" s="518" t="s">
        <v>467</v>
      </c>
      <c r="C38" s="475" t="s">
        <v>1587</v>
      </c>
      <c r="D38" s="566"/>
    </row>
    <row r="39" spans="1:4" s="495" customFormat="1" ht="16.5" customHeight="1" x14ac:dyDescent="0.25">
      <c r="A39" s="334">
        <v>2</v>
      </c>
      <c r="B39" s="518" t="s">
        <v>2013</v>
      </c>
      <c r="C39" s="494" t="s">
        <v>2014</v>
      </c>
      <c r="D39" s="566"/>
    </row>
    <row r="40" spans="1:4" s="495" customFormat="1" ht="15" customHeight="1" x14ac:dyDescent="0.25">
      <c r="A40" s="340">
        <v>3</v>
      </c>
      <c r="B40" s="510" t="s">
        <v>468</v>
      </c>
      <c r="C40" s="494" t="s">
        <v>1871</v>
      </c>
      <c r="D40" s="567"/>
    </row>
    <row r="41" spans="1:4" s="495" customFormat="1" ht="15.75" customHeight="1" x14ac:dyDescent="0.25">
      <c r="A41" s="340">
        <v>4</v>
      </c>
      <c r="B41" s="510" t="s">
        <v>469</v>
      </c>
      <c r="C41" s="494" t="s">
        <v>1872</v>
      </c>
      <c r="D41" s="567"/>
    </row>
    <row r="42" spans="1:4" s="495" customFormat="1" ht="15" customHeight="1" x14ac:dyDescent="0.25">
      <c r="A42" s="340">
        <v>5</v>
      </c>
      <c r="B42" s="349" t="s">
        <v>32</v>
      </c>
      <c r="C42" s="516" t="s">
        <v>1588</v>
      </c>
      <c r="D42" s="498"/>
    </row>
    <row r="43" spans="1:4" s="495" customFormat="1" ht="15" customHeight="1" x14ac:dyDescent="0.25">
      <c r="A43" s="340"/>
      <c r="B43" s="351" t="s">
        <v>33</v>
      </c>
      <c r="C43" s="446"/>
      <c r="D43" s="498"/>
    </row>
    <row r="44" spans="1:4" s="495" customFormat="1" ht="15" customHeight="1" x14ac:dyDescent="0.25">
      <c r="A44" s="340">
        <v>1</v>
      </c>
      <c r="B44" s="349" t="s">
        <v>467</v>
      </c>
      <c r="C44" s="494" t="s">
        <v>1873</v>
      </c>
      <c r="D44" s="498"/>
    </row>
    <row r="45" spans="1:4" s="495" customFormat="1" ht="13.5" customHeight="1" x14ac:dyDescent="0.25">
      <c r="A45" s="340">
        <v>2</v>
      </c>
      <c r="B45" s="350" t="s">
        <v>34</v>
      </c>
      <c r="C45" s="338" t="s">
        <v>1589</v>
      </c>
      <c r="D45" s="567"/>
    </row>
    <row r="46" spans="1:4" s="495" customFormat="1" ht="15" customHeight="1" x14ac:dyDescent="0.25">
      <c r="A46" s="340">
        <v>3</v>
      </c>
      <c r="B46" s="477" t="s">
        <v>23</v>
      </c>
      <c r="C46" s="494" t="s">
        <v>1874</v>
      </c>
      <c r="D46" s="498"/>
    </row>
    <row r="47" spans="1:4" s="495" customFormat="1" ht="15" customHeight="1" x14ac:dyDescent="0.25">
      <c r="A47" s="340">
        <v>4</v>
      </c>
      <c r="B47" s="350" t="s">
        <v>24</v>
      </c>
      <c r="C47" s="338" t="s">
        <v>1590</v>
      </c>
      <c r="D47" s="430"/>
    </row>
    <row r="48" spans="1:4" s="495" customFormat="1" ht="15" customHeight="1" x14ac:dyDescent="0.25">
      <c r="A48" s="340">
        <v>5</v>
      </c>
      <c r="B48" s="350" t="s">
        <v>35</v>
      </c>
      <c r="C48" s="494" t="s">
        <v>1875</v>
      </c>
      <c r="D48" s="498"/>
    </row>
    <row r="49" spans="1:4" s="495" customFormat="1" ht="15" customHeight="1" x14ac:dyDescent="0.25">
      <c r="A49" s="340"/>
      <c r="B49" s="364" t="s">
        <v>470</v>
      </c>
      <c r="C49" s="453"/>
      <c r="D49" s="498"/>
    </row>
    <row r="50" spans="1:4" s="495" customFormat="1" ht="15" customHeight="1" x14ac:dyDescent="0.25">
      <c r="A50" s="340">
        <v>1</v>
      </c>
      <c r="B50" s="349" t="s">
        <v>467</v>
      </c>
      <c r="C50" s="494" t="s">
        <v>1876</v>
      </c>
      <c r="D50" s="562"/>
    </row>
    <row r="51" spans="1:4" s="495" customFormat="1" ht="15" customHeight="1" x14ac:dyDescent="0.25">
      <c r="A51" s="340">
        <v>2</v>
      </c>
      <c r="B51" s="349" t="s">
        <v>471</v>
      </c>
      <c r="C51" s="338" t="s">
        <v>1591</v>
      </c>
      <c r="D51" s="562"/>
    </row>
    <row r="52" spans="1:4" s="495" customFormat="1" ht="15" customHeight="1" x14ac:dyDescent="0.25">
      <c r="A52" s="340">
        <v>3</v>
      </c>
      <c r="B52" s="350" t="s">
        <v>23</v>
      </c>
      <c r="C52" s="469" t="s">
        <v>1592</v>
      </c>
      <c r="D52" s="562"/>
    </row>
    <row r="53" spans="1:4" s="495" customFormat="1" ht="15" customHeight="1" x14ac:dyDescent="0.25">
      <c r="A53" s="340"/>
      <c r="B53" s="350" t="s">
        <v>1792</v>
      </c>
      <c r="C53" s="494" t="s">
        <v>1877</v>
      </c>
      <c r="D53" s="430"/>
    </row>
    <row r="54" spans="1:4" s="495" customFormat="1" ht="15" customHeight="1" x14ac:dyDescent="0.25">
      <c r="A54" s="340">
        <v>5</v>
      </c>
      <c r="B54" s="350" t="s">
        <v>26</v>
      </c>
      <c r="C54" s="338" t="s">
        <v>1593</v>
      </c>
      <c r="D54" s="562"/>
    </row>
    <row r="55" spans="1:4" s="495" customFormat="1" ht="18.75" customHeight="1" x14ac:dyDescent="0.3">
      <c r="A55" s="390"/>
      <c r="B55" s="399" t="s">
        <v>38</v>
      </c>
      <c r="C55" s="446"/>
      <c r="D55" s="498"/>
    </row>
    <row r="56" spans="1:4" s="495" customFormat="1" ht="15" customHeight="1" x14ac:dyDescent="0.25">
      <c r="A56" s="390"/>
      <c r="B56" s="363" t="s">
        <v>39</v>
      </c>
      <c r="C56" s="446"/>
      <c r="D56" s="498"/>
    </row>
    <row r="57" spans="1:4" s="495" customFormat="1" ht="15" customHeight="1" x14ac:dyDescent="0.25">
      <c r="A57" s="340">
        <v>1</v>
      </c>
      <c r="B57" s="353" t="s">
        <v>40</v>
      </c>
      <c r="C57" s="338" t="s">
        <v>1406</v>
      </c>
      <c r="D57" s="430"/>
    </row>
    <row r="58" spans="1:4" s="495" customFormat="1" ht="30.75" customHeight="1" x14ac:dyDescent="0.25">
      <c r="A58" s="340">
        <v>2</v>
      </c>
      <c r="B58" s="359" t="s">
        <v>41</v>
      </c>
      <c r="C58" s="338" t="s">
        <v>1407</v>
      </c>
      <c r="D58" s="430"/>
    </row>
    <row r="59" spans="1:4" s="495" customFormat="1" ht="26.25" customHeight="1" x14ac:dyDescent="0.25">
      <c r="A59" s="340">
        <v>3</v>
      </c>
      <c r="B59" s="359" t="s">
        <v>42</v>
      </c>
      <c r="C59" s="338" t="s">
        <v>1408</v>
      </c>
      <c r="D59" s="430"/>
    </row>
    <row r="60" spans="1:4" s="495" customFormat="1" ht="15" customHeight="1" x14ac:dyDescent="0.25">
      <c r="A60" s="340">
        <v>4</v>
      </c>
      <c r="B60" s="350" t="s">
        <v>43</v>
      </c>
      <c r="C60" s="338" t="s">
        <v>1409</v>
      </c>
      <c r="D60" s="430"/>
    </row>
    <row r="61" spans="1:4" s="495" customFormat="1" ht="15.75" customHeight="1" x14ac:dyDescent="0.25">
      <c r="A61" s="340"/>
      <c r="B61" s="354" t="s">
        <v>46</v>
      </c>
      <c r="C61" s="491"/>
      <c r="D61" s="498"/>
    </row>
    <row r="62" spans="1:4" s="495" customFormat="1" ht="15" customHeight="1" x14ac:dyDescent="0.25">
      <c r="A62" s="340">
        <v>1</v>
      </c>
      <c r="B62" s="353" t="s">
        <v>23</v>
      </c>
      <c r="C62" s="533" t="s">
        <v>1577</v>
      </c>
      <c r="D62" s="563"/>
    </row>
    <row r="63" spans="1:4" s="495" customFormat="1" ht="15" customHeight="1" x14ac:dyDescent="0.25">
      <c r="A63" s="340">
        <v>2</v>
      </c>
      <c r="B63" s="350" t="s">
        <v>35</v>
      </c>
      <c r="C63" s="338" t="s">
        <v>1413</v>
      </c>
      <c r="D63" s="430"/>
    </row>
    <row r="64" spans="1:4" s="495" customFormat="1" ht="15" customHeight="1" x14ac:dyDescent="0.25">
      <c r="A64" s="377" t="s">
        <v>576</v>
      </c>
      <c r="B64" s="508"/>
      <c r="C64" s="552"/>
      <c r="D64" s="498"/>
    </row>
    <row r="65" spans="1:4" s="495" customFormat="1" ht="15" customHeight="1" x14ac:dyDescent="0.25">
      <c r="A65" s="375">
        <v>1</v>
      </c>
      <c r="B65" s="478" t="s">
        <v>47</v>
      </c>
      <c r="C65" s="338" t="s">
        <v>1410</v>
      </c>
      <c r="D65" s="430"/>
    </row>
    <row r="66" spans="1:4" s="495" customFormat="1" ht="15" customHeight="1" x14ac:dyDescent="0.25">
      <c r="A66" s="375">
        <v>2</v>
      </c>
      <c r="B66" s="479" t="s">
        <v>32</v>
      </c>
      <c r="C66" s="338" t="s">
        <v>1411</v>
      </c>
      <c r="D66" s="430"/>
    </row>
    <row r="67" spans="1:4" s="495" customFormat="1" ht="15" customHeight="1" x14ac:dyDescent="0.25">
      <c r="A67" s="375">
        <v>3</v>
      </c>
      <c r="B67" s="479" t="s">
        <v>1380</v>
      </c>
      <c r="C67" s="338" t="s">
        <v>1412</v>
      </c>
      <c r="D67" s="562"/>
    </row>
    <row r="68" spans="1:4" s="495" customFormat="1" ht="15" customHeight="1" x14ac:dyDescent="0.25">
      <c r="A68" s="334"/>
      <c r="B68" s="358" t="s">
        <v>136</v>
      </c>
      <c r="C68" s="385"/>
      <c r="D68" s="498"/>
    </row>
    <row r="69" spans="1:4" s="495" customFormat="1" ht="15" customHeight="1" x14ac:dyDescent="0.25">
      <c r="A69" s="340">
        <v>1</v>
      </c>
      <c r="B69" s="350" t="s">
        <v>50</v>
      </c>
      <c r="C69" s="338" t="s">
        <v>1414</v>
      </c>
      <c r="D69" s="430"/>
    </row>
    <row r="70" spans="1:4" s="495" customFormat="1" ht="15" customHeight="1" x14ac:dyDescent="0.25">
      <c r="A70" s="334">
        <v>2</v>
      </c>
      <c r="B70" s="350" t="s">
        <v>53</v>
      </c>
      <c r="C70" s="338" t="s">
        <v>1415</v>
      </c>
      <c r="D70" s="430"/>
    </row>
    <row r="71" spans="1:4" s="495" customFormat="1" ht="15" customHeight="1" x14ac:dyDescent="0.25">
      <c r="A71" s="334">
        <v>3</v>
      </c>
      <c r="B71" s="350" t="s">
        <v>64</v>
      </c>
      <c r="C71" s="338" t="s">
        <v>1416</v>
      </c>
      <c r="D71" s="498"/>
    </row>
    <row r="72" spans="1:4" s="495" customFormat="1" ht="15" customHeight="1" x14ac:dyDescent="0.25">
      <c r="A72" s="334"/>
      <c r="B72" s="358" t="s">
        <v>77</v>
      </c>
      <c r="C72" s="385"/>
      <c r="D72" s="498"/>
    </row>
    <row r="73" spans="1:4" s="495" customFormat="1" ht="26.25" customHeight="1" x14ac:dyDescent="0.25">
      <c r="A73" s="340">
        <v>1</v>
      </c>
      <c r="B73" s="349" t="s">
        <v>78</v>
      </c>
      <c r="C73" s="338" t="s">
        <v>1417</v>
      </c>
      <c r="D73" s="430"/>
    </row>
    <row r="74" spans="1:4" s="587" customFormat="1" ht="39" customHeight="1" x14ac:dyDescent="0.25">
      <c r="A74" s="481"/>
      <c r="B74" s="615" t="s">
        <v>1578</v>
      </c>
      <c r="C74" s="471" t="s">
        <v>1337</v>
      </c>
      <c r="D74" s="601" t="s">
        <v>1793</v>
      </c>
    </row>
    <row r="75" spans="1:4" s="495" customFormat="1" ht="15" customHeight="1" x14ac:dyDescent="0.25">
      <c r="A75" s="340">
        <v>2</v>
      </c>
      <c r="B75" s="350" t="s">
        <v>79</v>
      </c>
      <c r="C75" s="338" t="s">
        <v>1418</v>
      </c>
      <c r="D75" s="430"/>
    </row>
    <row r="76" spans="1:4" s="495" customFormat="1" ht="15" customHeight="1" x14ac:dyDescent="0.25">
      <c r="A76" s="334"/>
      <c r="B76" s="351" t="s">
        <v>55</v>
      </c>
      <c r="C76" s="453"/>
      <c r="D76" s="568"/>
    </row>
    <row r="77" spans="1:4" s="495" customFormat="1" ht="15" customHeight="1" x14ac:dyDescent="0.25">
      <c r="A77" s="340">
        <v>1</v>
      </c>
      <c r="B77" s="350" t="s">
        <v>56</v>
      </c>
      <c r="C77" s="338" t="s">
        <v>1419</v>
      </c>
      <c r="D77" s="430"/>
    </row>
    <row r="78" spans="1:4" s="495" customFormat="1" ht="15" customHeight="1" x14ac:dyDescent="0.25">
      <c r="A78" s="340">
        <v>2</v>
      </c>
      <c r="B78" s="350" t="s">
        <v>64</v>
      </c>
      <c r="C78" s="338" t="s">
        <v>1420</v>
      </c>
      <c r="D78" s="430"/>
    </row>
    <row r="79" spans="1:4" s="495" customFormat="1" ht="15" customHeight="1" x14ac:dyDescent="0.25">
      <c r="A79" s="340"/>
      <c r="B79" s="351" t="s">
        <v>58</v>
      </c>
      <c r="C79" s="385"/>
      <c r="D79" s="498"/>
    </row>
    <row r="80" spans="1:4" s="495" customFormat="1" ht="15" customHeight="1" x14ac:dyDescent="0.25">
      <c r="A80" s="340">
        <v>1</v>
      </c>
      <c r="B80" s="350" t="s">
        <v>59</v>
      </c>
      <c r="C80" s="338" t="s">
        <v>1421</v>
      </c>
      <c r="D80" s="430"/>
    </row>
    <row r="81" spans="1:4" s="495" customFormat="1" ht="15" customHeight="1" x14ac:dyDescent="0.25">
      <c r="A81" s="334">
        <v>2</v>
      </c>
      <c r="B81" s="350" t="s">
        <v>64</v>
      </c>
      <c r="C81" s="338" t="s">
        <v>1422</v>
      </c>
      <c r="D81" s="430"/>
    </row>
    <row r="82" spans="1:4" s="495" customFormat="1" ht="15" customHeight="1" x14ac:dyDescent="0.25">
      <c r="A82" s="398"/>
      <c r="B82" s="351" t="s">
        <v>60</v>
      </c>
      <c r="C82" s="385"/>
      <c r="D82" s="498"/>
    </row>
    <row r="83" spans="1:4" s="495" customFormat="1" ht="15" customHeight="1" x14ac:dyDescent="0.25">
      <c r="A83" s="340" t="s">
        <v>61</v>
      </c>
      <c r="B83" s="350" t="s">
        <v>62</v>
      </c>
      <c r="C83" s="338" t="s">
        <v>1423</v>
      </c>
      <c r="D83" s="430"/>
    </row>
    <row r="84" spans="1:4" s="495" customFormat="1" ht="15" customHeight="1" x14ac:dyDescent="0.25">
      <c r="A84" s="340" t="s">
        <v>63</v>
      </c>
      <c r="B84" s="350" t="s">
        <v>64</v>
      </c>
      <c r="C84" s="338" t="s">
        <v>1424</v>
      </c>
      <c r="D84" s="430"/>
    </row>
    <row r="85" spans="1:4" s="495" customFormat="1" ht="15" customHeight="1" x14ac:dyDescent="0.25">
      <c r="A85" s="340"/>
      <c r="B85" s="351" t="s">
        <v>1579</v>
      </c>
      <c r="C85" s="453"/>
      <c r="D85" s="498"/>
    </row>
    <row r="86" spans="1:4" s="495" customFormat="1" ht="15" customHeight="1" x14ac:dyDescent="0.25">
      <c r="A86" s="340">
        <v>1</v>
      </c>
      <c r="B86" s="350" t="s">
        <v>66</v>
      </c>
      <c r="C86" s="338" t="s">
        <v>1425</v>
      </c>
      <c r="D86" s="430"/>
    </row>
    <row r="87" spans="1:4" s="495" customFormat="1" ht="15" customHeight="1" x14ac:dyDescent="0.25">
      <c r="A87" s="340"/>
      <c r="B87" s="351" t="s">
        <v>67</v>
      </c>
      <c r="C87" s="453"/>
      <c r="D87" s="498"/>
    </row>
    <row r="88" spans="1:4" s="495" customFormat="1" ht="15" customHeight="1" x14ac:dyDescent="0.25">
      <c r="A88" s="340">
        <v>1</v>
      </c>
      <c r="B88" s="350" t="s">
        <v>68</v>
      </c>
      <c r="C88" s="338" t="s">
        <v>1426</v>
      </c>
      <c r="D88" s="430"/>
    </row>
    <row r="89" spans="1:4" s="495" customFormat="1" ht="15" customHeight="1" x14ac:dyDescent="0.25">
      <c r="A89" s="340">
        <v>2</v>
      </c>
      <c r="B89" s="350" t="s">
        <v>64</v>
      </c>
      <c r="C89" s="338" t="s">
        <v>1427</v>
      </c>
      <c r="D89" s="430"/>
    </row>
    <row r="90" spans="1:4" s="495" customFormat="1" ht="15" customHeight="1" x14ac:dyDescent="0.25">
      <c r="A90" s="340"/>
      <c r="B90" s="351" t="s">
        <v>69</v>
      </c>
      <c r="C90" s="338"/>
      <c r="D90" s="498"/>
    </row>
    <row r="91" spans="1:4" s="495" customFormat="1" ht="15" customHeight="1" x14ac:dyDescent="0.25">
      <c r="A91" s="340">
        <v>1</v>
      </c>
      <c r="B91" s="350" t="s">
        <v>70</v>
      </c>
      <c r="C91" s="338" t="s">
        <v>1428</v>
      </c>
      <c r="D91" s="430"/>
    </row>
    <row r="92" spans="1:4" s="495" customFormat="1" ht="15" customHeight="1" x14ac:dyDescent="0.25">
      <c r="A92" s="340">
        <v>2</v>
      </c>
      <c r="B92" s="350" t="s">
        <v>64</v>
      </c>
      <c r="C92" s="338" t="s">
        <v>1429</v>
      </c>
      <c r="D92" s="430"/>
    </row>
    <row r="93" spans="1:4" s="495" customFormat="1" ht="15" customHeight="1" x14ac:dyDescent="0.25">
      <c r="A93" s="398"/>
      <c r="B93" s="351" t="s">
        <v>80</v>
      </c>
      <c r="C93" s="356"/>
      <c r="D93" s="498"/>
    </row>
    <row r="94" spans="1:4" s="495" customFormat="1" ht="15" customHeight="1" x14ac:dyDescent="0.25">
      <c r="A94" s="398">
        <v>1</v>
      </c>
      <c r="B94" s="350" t="s">
        <v>81</v>
      </c>
      <c r="C94" s="338" t="s">
        <v>1430</v>
      </c>
      <c r="D94" s="430"/>
    </row>
    <row r="95" spans="1:4" s="495" customFormat="1" ht="15" customHeight="1" x14ac:dyDescent="0.25">
      <c r="A95" s="398">
        <v>2</v>
      </c>
      <c r="B95" s="480" t="s">
        <v>64</v>
      </c>
      <c r="C95" s="338" t="s">
        <v>1431</v>
      </c>
      <c r="D95" s="430"/>
    </row>
    <row r="96" spans="1:4" s="495" customFormat="1" ht="15" customHeight="1" x14ac:dyDescent="0.25">
      <c r="A96" s="340"/>
      <c r="B96" s="351" t="s">
        <v>82</v>
      </c>
      <c r="C96" s="385"/>
      <c r="D96" s="498"/>
    </row>
    <row r="97" spans="1:4" s="495" customFormat="1" ht="15" customHeight="1" x14ac:dyDescent="0.25">
      <c r="A97" s="340" t="s">
        <v>61</v>
      </c>
      <c r="B97" s="350" t="s">
        <v>83</v>
      </c>
      <c r="C97" s="338" t="s">
        <v>1432</v>
      </c>
      <c r="D97" s="430"/>
    </row>
    <row r="98" spans="1:4" s="495" customFormat="1" ht="15" customHeight="1" x14ac:dyDescent="0.25">
      <c r="A98" s="340">
        <v>2</v>
      </c>
      <c r="B98" s="477" t="s">
        <v>51</v>
      </c>
      <c r="C98" s="338" t="s">
        <v>1433</v>
      </c>
      <c r="D98" s="430"/>
    </row>
    <row r="99" spans="1:4" s="495" customFormat="1" ht="15" customHeight="1" x14ac:dyDescent="0.25">
      <c r="A99" s="340">
        <v>3</v>
      </c>
      <c r="B99" s="350" t="s">
        <v>577</v>
      </c>
      <c r="C99" s="338" t="s">
        <v>1434</v>
      </c>
      <c r="D99" s="430"/>
    </row>
    <row r="100" spans="1:4" s="495" customFormat="1" ht="15" customHeight="1" x14ac:dyDescent="0.25">
      <c r="A100" s="340"/>
      <c r="B100" s="351" t="s">
        <v>84</v>
      </c>
      <c r="C100" s="385"/>
      <c r="D100" s="498"/>
    </row>
    <row r="101" spans="1:4" s="495" customFormat="1" ht="15" customHeight="1" x14ac:dyDescent="0.25">
      <c r="A101" s="340" t="s">
        <v>61</v>
      </c>
      <c r="B101" s="350" t="s">
        <v>85</v>
      </c>
      <c r="C101" s="338" t="s">
        <v>1435</v>
      </c>
      <c r="D101" s="430"/>
    </row>
    <row r="102" spans="1:4" s="495" customFormat="1" ht="15" customHeight="1" x14ac:dyDescent="0.25">
      <c r="A102" s="340">
        <v>3</v>
      </c>
      <c r="B102" s="350" t="s">
        <v>86</v>
      </c>
      <c r="C102" s="338" t="s">
        <v>1436</v>
      </c>
      <c r="D102" s="430"/>
    </row>
    <row r="103" spans="1:4" s="495" customFormat="1" ht="15" customHeight="1" x14ac:dyDescent="0.25">
      <c r="A103" s="370"/>
      <c r="B103" s="351" t="s">
        <v>87</v>
      </c>
      <c r="C103" s="385"/>
      <c r="D103" s="498"/>
    </row>
    <row r="104" spans="1:4" s="495" customFormat="1" ht="15" customHeight="1" x14ac:dyDescent="0.25">
      <c r="A104" s="334">
        <v>1</v>
      </c>
      <c r="B104" s="350" t="s">
        <v>88</v>
      </c>
      <c r="C104" s="338" t="s">
        <v>1437</v>
      </c>
      <c r="D104" s="430"/>
    </row>
    <row r="105" spans="1:4" s="495" customFormat="1" ht="15" customHeight="1" x14ac:dyDescent="0.25">
      <c r="A105" s="340">
        <v>2</v>
      </c>
      <c r="B105" s="350" t="s">
        <v>64</v>
      </c>
      <c r="C105" s="338" t="s">
        <v>1438</v>
      </c>
      <c r="D105" s="430"/>
    </row>
    <row r="106" spans="1:4" s="495" customFormat="1" ht="15" customHeight="1" x14ac:dyDescent="0.25">
      <c r="A106" s="340"/>
      <c r="B106" s="351" t="s">
        <v>89</v>
      </c>
      <c r="C106" s="385"/>
      <c r="D106" s="498"/>
    </row>
    <row r="107" spans="1:4" s="495" customFormat="1" ht="15" customHeight="1" x14ac:dyDescent="0.25">
      <c r="A107" s="340">
        <v>1</v>
      </c>
      <c r="B107" s="350" t="s">
        <v>90</v>
      </c>
      <c r="C107" s="338" t="s">
        <v>1439</v>
      </c>
      <c r="D107" s="430"/>
    </row>
    <row r="108" spans="1:4" s="495" customFormat="1" ht="15" customHeight="1" x14ac:dyDescent="0.25">
      <c r="A108" s="340">
        <v>2</v>
      </c>
      <c r="B108" s="350" t="s">
        <v>64</v>
      </c>
      <c r="C108" s="338" t="s">
        <v>1440</v>
      </c>
      <c r="D108" s="430"/>
    </row>
    <row r="109" spans="1:4" s="495" customFormat="1" ht="15" customHeight="1" x14ac:dyDescent="0.25">
      <c r="A109" s="340"/>
      <c r="B109" s="351" t="s">
        <v>91</v>
      </c>
      <c r="C109" s="385"/>
      <c r="D109" s="498"/>
    </row>
    <row r="110" spans="1:4" s="495" customFormat="1" ht="15" customHeight="1" x14ac:dyDescent="0.25">
      <c r="A110" s="340">
        <v>1</v>
      </c>
      <c r="B110" s="350" t="s">
        <v>92</v>
      </c>
      <c r="C110" s="338" t="s">
        <v>1441</v>
      </c>
      <c r="D110" s="430"/>
    </row>
    <row r="111" spans="1:4" s="495" customFormat="1" ht="15" customHeight="1" x14ac:dyDescent="0.25">
      <c r="A111" s="334">
        <v>2</v>
      </c>
      <c r="B111" s="350" t="s">
        <v>64</v>
      </c>
      <c r="C111" s="338" t="s">
        <v>1442</v>
      </c>
      <c r="D111" s="430"/>
    </row>
    <row r="112" spans="1:4" s="495" customFormat="1" ht="15" customHeight="1" x14ac:dyDescent="0.25">
      <c r="A112" s="340"/>
      <c r="B112" s="351" t="s">
        <v>72</v>
      </c>
      <c r="C112" s="453"/>
      <c r="D112" s="498"/>
    </row>
    <row r="113" spans="1:4" s="495" customFormat="1" ht="15" customHeight="1" x14ac:dyDescent="0.25">
      <c r="A113" s="340">
        <v>1</v>
      </c>
      <c r="B113" s="350" t="s">
        <v>73</v>
      </c>
      <c r="C113" s="338" t="s">
        <v>1443</v>
      </c>
      <c r="D113" s="430"/>
    </row>
    <row r="114" spans="1:4" s="495" customFormat="1" ht="15" customHeight="1" x14ac:dyDescent="0.25">
      <c r="A114" s="340">
        <v>2</v>
      </c>
      <c r="B114" s="353" t="s">
        <v>74</v>
      </c>
      <c r="C114" s="338" t="s">
        <v>1444</v>
      </c>
      <c r="D114" s="430"/>
    </row>
    <row r="115" spans="1:4" s="495" customFormat="1" ht="15" customHeight="1" x14ac:dyDescent="0.25">
      <c r="A115" s="340">
        <v>3</v>
      </c>
      <c r="B115" s="477" t="s">
        <v>52</v>
      </c>
      <c r="C115" s="338" t="s">
        <v>1445</v>
      </c>
      <c r="D115" s="430"/>
    </row>
    <row r="116" spans="1:4" s="495" customFormat="1" ht="15" customHeight="1" x14ac:dyDescent="0.25">
      <c r="A116" s="340">
        <v>4</v>
      </c>
      <c r="B116" s="353" t="s">
        <v>75</v>
      </c>
      <c r="C116" s="338" t="s">
        <v>1446</v>
      </c>
      <c r="D116" s="430"/>
    </row>
    <row r="117" spans="1:4" s="495" customFormat="1" ht="15" customHeight="1" x14ac:dyDescent="0.25">
      <c r="A117" s="340">
        <v>5</v>
      </c>
      <c r="B117" s="353" t="s">
        <v>76</v>
      </c>
      <c r="C117" s="338" t="s">
        <v>1447</v>
      </c>
      <c r="D117" s="430"/>
    </row>
    <row r="118" spans="1:4" s="495" customFormat="1" ht="15" customHeight="1" x14ac:dyDescent="0.25">
      <c r="A118" s="340">
        <v>6</v>
      </c>
      <c r="B118" s="349" t="s">
        <v>78</v>
      </c>
      <c r="C118" s="338" t="s">
        <v>1448</v>
      </c>
      <c r="D118" s="430"/>
    </row>
    <row r="119" spans="1:4" s="495" customFormat="1" ht="15" customHeight="1" x14ac:dyDescent="0.25">
      <c r="A119" s="340">
        <v>7</v>
      </c>
      <c r="B119" s="350" t="s">
        <v>81</v>
      </c>
      <c r="C119" s="338" t="s">
        <v>1391</v>
      </c>
      <c r="D119" s="498"/>
    </row>
    <row r="120" spans="1:4" s="495" customFormat="1" ht="15" customHeight="1" x14ac:dyDescent="0.25">
      <c r="A120" s="340"/>
      <c r="B120" s="350" t="s">
        <v>81</v>
      </c>
      <c r="C120" s="338" t="s">
        <v>1449</v>
      </c>
      <c r="D120" s="498"/>
    </row>
    <row r="121" spans="1:4" s="495" customFormat="1" ht="15" customHeight="1" x14ac:dyDescent="0.25">
      <c r="A121" s="340">
        <v>8</v>
      </c>
      <c r="B121" s="350" t="s">
        <v>83</v>
      </c>
      <c r="C121" s="338" t="s">
        <v>1450</v>
      </c>
      <c r="D121" s="430"/>
    </row>
    <row r="122" spans="1:4" s="495" customFormat="1" ht="15" customHeight="1" x14ac:dyDescent="0.25">
      <c r="A122" s="340">
        <v>9</v>
      </c>
      <c r="B122" s="350" t="s">
        <v>85</v>
      </c>
      <c r="C122" s="338" t="s">
        <v>1451</v>
      </c>
      <c r="D122" s="430"/>
    </row>
    <row r="123" spans="1:4" s="495" customFormat="1" ht="15" customHeight="1" x14ac:dyDescent="0.25">
      <c r="A123" s="340">
        <v>10</v>
      </c>
      <c r="B123" s="350" t="s">
        <v>90</v>
      </c>
      <c r="C123" s="338" t="s">
        <v>1452</v>
      </c>
      <c r="D123" s="430"/>
    </row>
    <row r="124" spans="1:4" s="495" customFormat="1" ht="15" customHeight="1" x14ac:dyDescent="0.25">
      <c r="A124" s="340">
        <v>11</v>
      </c>
      <c r="B124" s="350" t="s">
        <v>92</v>
      </c>
      <c r="C124" s="338" t="s">
        <v>1453</v>
      </c>
      <c r="D124" s="430"/>
    </row>
    <row r="125" spans="1:4" s="495" customFormat="1" ht="15" customHeight="1" x14ac:dyDescent="0.25">
      <c r="A125" s="340">
        <v>12</v>
      </c>
      <c r="B125" s="350" t="s">
        <v>88</v>
      </c>
      <c r="C125" s="338" t="s">
        <v>1454</v>
      </c>
      <c r="D125" s="430"/>
    </row>
    <row r="126" spans="1:4" s="495" customFormat="1" ht="15" customHeight="1" x14ac:dyDescent="0.25">
      <c r="A126" s="340">
        <v>13</v>
      </c>
      <c r="B126" s="350" t="s">
        <v>53</v>
      </c>
      <c r="C126" s="338" t="s">
        <v>1455</v>
      </c>
      <c r="D126" s="430"/>
    </row>
    <row r="127" spans="1:4" s="495" customFormat="1" ht="15" customHeight="1" x14ac:dyDescent="0.25">
      <c r="A127" s="340">
        <v>14</v>
      </c>
      <c r="B127" s="350" t="s">
        <v>64</v>
      </c>
      <c r="C127" s="338" t="s">
        <v>1594</v>
      </c>
      <c r="D127" s="430"/>
    </row>
    <row r="128" spans="1:4" s="495" customFormat="1" ht="15" customHeight="1" x14ac:dyDescent="0.25">
      <c r="A128" s="340">
        <v>15</v>
      </c>
      <c r="B128" s="350" t="s">
        <v>79</v>
      </c>
      <c r="C128" s="338" t="s">
        <v>1456</v>
      </c>
      <c r="D128" s="430"/>
    </row>
    <row r="129" spans="1:4" s="495" customFormat="1" ht="15" customHeight="1" x14ac:dyDescent="0.25">
      <c r="A129" s="340">
        <v>16</v>
      </c>
      <c r="B129" s="350" t="s">
        <v>86</v>
      </c>
      <c r="C129" s="338" t="s">
        <v>1457</v>
      </c>
      <c r="D129" s="430"/>
    </row>
    <row r="130" spans="1:4" s="495" customFormat="1" ht="15" customHeight="1" x14ac:dyDescent="0.25">
      <c r="A130" s="340"/>
      <c r="B130" s="364" t="s">
        <v>472</v>
      </c>
      <c r="C130" s="453"/>
      <c r="D130" s="498"/>
    </row>
    <row r="131" spans="1:4" s="495" customFormat="1" ht="15" customHeight="1" x14ac:dyDescent="0.25">
      <c r="A131" s="340">
        <v>1</v>
      </c>
      <c r="B131" s="350" t="s">
        <v>473</v>
      </c>
      <c r="C131" s="338" t="s">
        <v>1458</v>
      </c>
      <c r="D131" s="430"/>
    </row>
    <row r="132" spans="1:4" s="495" customFormat="1" ht="15" customHeight="1" x14ac:dyDescent="0.25">
      <c r="A132" s="340">
        <v>2</v>
      </c>
      <c r="B132" s="350" t="s">
        <v>32</v>
      </c>
      <c r="C132" s="338" t="s">
        <v>1459</v>
      </c>
      <c r="D132" s="430"/>
    </row>
    <row r="133" spans="1:4" s="495" customFormat="1" ht="15" customHeight="1" x14ac:dyDescent="0.25">
      <c r="A133" s="340">
        <v>3</v>
      </c>
      <c r="B133" s="350" t="s">
        <v>474</v>
      </c>
      <c r="C133" s="338" t="s">
        <v>1460</v>
      </c>
      <c r="D133" s="562"/>
    </row>
    <row r="134" spans="1:4" s="495" customFormat="1" ht="15" customHeight="1" x14ac:dyDescent="0.25">
      <c r="A134" s="340">
        <v>4</v>
      </c>
      <c r="B134" s="350" t="s">
        <v>64</v>
      </c>
      <c r="C134" s="338" t="s">
        <v>1461</v>
      </c>
      <c r="D134" s="430"/>
    </row>
    <row r="135" spans="1:4" s="495" customFormat="1" ht="15" customHeight="1" x14ac:dyDescent="0.25">
      <c r="A135" s="340"/>
      <c r="B135" s="351" t="s">
        <v>93</v>
      </c>
      <c r="C135" s="453"/>
      <c r="D135" s="498"/>
    </row>
    <row r="136" spans="1:4" s="495" customFormat="1" ht="15" customHeight="1" x14ac:dyDescent="0.25">
      <c r="A136" s="340" t="s">
        <v>61</v>
      </c>
      <c r="B136" s="350" t="s">
        <v>94</v>
      </c>
      <c r="C136" s="338" t="s">
        <v>1462</v>
      </c>
      <c r="D136" s="430"/>
    </row>
    <row r="137" spans="1:4" s="495" customFormat="1" ht="15" customHeight="1" x14ac:dyDescent="0.25">
      <c r="A137" s="340"/>
      <c r="B137" s="351" t="s">
        <v>95</v>
      </c>
      <c r="C137" s="385"/>
      <c r="D137" s="498"/>
    </row>
    <row r="138" spans="1:4" s="495" customFormat="1" ht="15" customHeight="1" x14ac:dyDescent="0.25">
      <c r="A138" s="340">
        <v>1</v>
      </c>
      <c r="B138" s="350" t="s">
        <v>96</v>
      </c>
      <c r="C138" s="338" t="s">
        <v>1463</v>
      </c>
      <c r="D138" s="430"/>
    </row>
    <row r="139" spans="1:4" s="495" customFormat="1" ht="15" customHeight="1" x14ac:dyDescent="0.25">
      <c r="A139" s="340">
        <v>2</v>
      </c>
      <c r="B139" s="350" t="s">
        <v>475</v>
      </c>
      <c r="C139" s="338" t="s">
        <v>1464</v>
      </c>
      <c r="D139" s="430"/>
    </row>
    <row r="140" spans="1:4" s="495" customFormat="1" ht="15" customHeight="1" x14ac:dyDescent="0.25">
      <c r="A140" s="340">
        <v>3</v>
      </c>
      <c r="B140" s="350" t="s">
        <v>476</v>
      </c>
      <c r="C140" s="338" t="s">
        <v>1465</v>
      </c>
      <c r="D140" s="430"/>
    </row>
    <row r="141" spans="1:4" s="495" customFormat="1" ht="15" customHeight="1" x14ac:dyDescent="0.25">
      <c r="A141" s="340">
        <v>4</v>
      </c>
      <c r="B141" s="350" t="s">
        <v>478</v>
      </c>
      <c r="C141" s="338" t="s">
        <v>1466</v>
      </c>
      <c r="D141" s="430"/>
    </row>
    <row r="142" spans="1:4" s="495" customFormat="1" ht="15" customHeight="1" x14ac:dyDescent="0.25">
      <c r="A142" s="340"/>
      <c r="B142" s="351" t="s">
        <v>97</v>
      </c>
      <c r="C142" s="453"/>
      <c r="D142" s="498"/>
    </row>
    <row r="143" spans="1:4" s="495" customFormat="1" ht="15" customHeight="1" x14ac:dyDescent="0.25">
      <c r="A143" s="340">
        <v>1</v>
      </c>
      <c r="B143" s="353" t="s">
        <v>253</v>
      </c>
      <c r="C143" s="338" t="s">
        <v>1394</v>
      </c>
      <c r="D143" s="498"/>
    </row>
    <row r="144" spans="1:4" s="495" customFormat="1" ht="15" customHeight="1" x14ac:dyDescent="0.25">
      <c r="A144" s="340">
        <v>2</v>
      </c>
      <c r="B144" s="353" t="s">
        <v>653</v>
      </c>
      <c r="C144" s="338" t="s">
        <v>1395</v>
      </c>
      <c r="D144" s="498"/>
    </row>
    <row r="145" spans="1:4" s="495" customFormat="1" ht="15" customHeight="1" x14ac:dyDescent="0.25">
      <c r="A145" s="340"/>
      <c r="B145" s="351" t="s">
        <v>98</v>
      </c>
      <c r="C145" s="453"/>
      <c r="D145" s="498"/>
    </row>
    <row r="146" spans="1:4" s="495" customFormat="1" x14ac:dyDescent="0.25">
      <c r="A146" s="334">
        <v>1</v>
      </c>
      <c r="B146" s="350" t="s">
        <v>99</v>
      </c>
      <c r="C146" s="338" t="s">
        <v>675</v>
      </c>
      <c r="D146" s="498"/>
    </row>
    <row r="147" spans="1:4" s="495" customFormat="1" ht="15" customHeight="1" x14ac:dyDescent="0.25">
      <c r="A147" s="340">
        <v>2</v>
      </c>
      <c r="B147" s="477" t="s">
        <v>100</v>
      </c>
      <c r="C147" s="338" t="s">
        <v>1971</v>
      </c>
      <c r="D147" s="562"/>
    </row>
    <row r="148" spans="1:4" s="587" customFormat="1" ht="26.25" customHeight="1" x14ac:dyDescent="0.25">
      <c r="A148" s="481">
        <v>3</v>
      </c>
      <c r="B148" s="473" t="s">
        <v>299</v>
      </c>
      <c r="C148" s="599" t="s">
        <v>1337</v>
      </c>
      <c r="D148" s="608" t="s">
        <v>1386</v>
      </c>
    </row>
    <row r="149" spans="1:4" s="495" customFormat="1" x14ac:dyDescent="0.25">
      <c r="A149" s="340">
        <v>4</v>
      </c>
      <c r="B149" s="350" t="s">
        <v>101</v>
      </c>
      <c r="C149" s="338" t="s">
        <v>676</v>
      </c>
      <c r="D149" s="498"/>
    </row>
    <row r="150" spans="1:4" s="495" customFormat="1" x14ac:dyDescent="0.25">
      <c r="A150" s="340">
        <v>5</v>
      </c>
      <c r="B150" s="335" t="s">
        <v>102</v>
      </c>
      <c r="C150" s="338" t="s">
        <v>677</v>
      </c>
      <c r="D150" s="498"/>
    </row>
    <row r="151" spans="1:4" s="495" customFormat="1" x14ac:dyDescent="0.25">
      <c r="A151" s="352">
        <v>6</v>
      </c>
      <c r="B151" s="335" t="s">
        <v>103</v>
      </c>
      <c r="C151" s="338" t="s">
        <v>678</v>
      </c>
      <c r="D151" s="498"/>
    </row>
    <row r="152" spans="1:4" s="495" customFormat="1" ht="15" customHeight="1" x14ac:dyDescent="0.25">
      <c r="A152" s="352">
        <v>7</v>
      </c>
      <c r="B152" s="350" t="s">
        <v>104</v>
      </c>
      <c r="C152" s="338" t="s">
        <v>1976</v>
      </c>
      <c r="D152" s="498"/>
    </row>
    <row r="153" spans="1:4" s="495" customFormat="1" ht="15" customHeight="1" x14ac:dyDescent="0.25">
      <c r="A153" s="352">
        <v>8</v>
      </c>
      <c r="B153" s="335" t="s">
        <v>105</v>
      </c>
      <c r="C153" s="338" t="s">
        <v>1973</v>
      </c>
      <c r="D153" s="498"/>
    </row>
    <row r="154" spans="1:4" s="495" customFormat="1" ht="15" customHeight="1" x14ac:dyDescent="0.25">
      <c r="A154" s="352">
        <v>9</v>
      </c>
      <c r="B154" s="335" t="s">
        <v>106</v>
      </c>
      <c r="C154" s="338" t="s">
        <v>1974</v>
      </c>
      <c r="D154" s="498"/>
    </row>
    <row r="155" spans="1:4" s="495" customFormat="1" ht="15" customHeight="1" x14ac:dyDescent="0.25">
      <c r="A155" s="352">
        <v>10</v>
      </c>
      <c r="B155" s="335" t="s">
        <v>107</v>
      </c>
      <c r="C155" s="338" t="s">
        <v>1972</v>
      </c>
      <c r="D155" s="563"/>
    </row>
    <row r="156" spans="1:4" s="495" customFormat="1" ht="15" customHeight="1" x14ac:dyDescent="0.25">
      <c r="A156" s="352">
        <v>11</v>
      </c>
      <c r="B156" s="335" t="s">
        <v>108</v>
      </c>
      <c r="C156" s="338" t="s">
        <v>1975</v>
      </c>
      <c r="D156" s="498"/>
    </row>
    <row r="157" spans="1:4" s="495" customFormat="1" ht="15.75" customHeight="1" x14ac:dyDescent="0.25">
      <c r="A157" s="624" t="s">
        <v>1367</v>
      </c>
      <c r="B157" s="625"/>
      <c r="C157" s="625"/>
      <c r="D157" s="625"/>
    </row>
    <row r="158" spans="1:4" s="495" customFormat="1" ht="15" customHeight="1" x14ac:dyDescent="0.25">
      <c r="A158" s="340"/>
      <c r="B158" s="390" t="s">
        <v>648</v>
      </c>
      <c r="C158" s="453"/>
      <c r="D158" s="498"/>
    </row>
    <row r="159" spans="1:4" s="495" customFormat="1" ht="15" customHeight="1" x14ac:dyDescent="0.25">
      <c r="A159" s="340">
        <v>1</v>
      </c>
      <c r="B159" s="350" t="s">
        <v>649</v>
      </c>
      <c r="C159" s="338" t="s">
        <v>1467</v>
      </c>
      <c r="D159" s="430"/>
    </row>
    <row r="160" spans="1:4" s="495" customFormat="1" ht="33" customHeight="1" x14ac:dyDescent="0.25">
      <c r="A160" s="340">
        <v>2</v>
      </c>
      <c r="B160" s="350" t="s">
        <v>32</v>
      </c>
      <c r="C160" s="338" t="s">
        <v>1984</v>
      </c>
      <c r="D160" s="430"/>
    </row>
    <row r="161" spans="1:4" s="495" customFormat="1" ht="15" customHeight="1" x14ac:dyDescent="0.25">
      <c r="A161" s="340">
        <v>3</v>
      </c>
      <c r="B161" s="350" t="s">
        <v>81</v>
      </c>
      <c r="C161" s="338" t="s">
        <v>1978</v>
      </c>
      <c r="D161" s="430"/>
    </row>
    <row r="162" spans="1:4" s="495" customFormat="1" ht="15" customHeight="1" x14ac:dyDescent="0.25">
      <c r="A162" s="340">
        <v>4</v>
      </c>
      <c r="B162" s="350" t="s">
        <v>56</v>
      </c>
      <c r="C162" s="338" t="s">
        <v>1981</v>
      </c>
      <c r="D162" s="430"/>
    </row>
    <row r="163" spans="1:4" s="495" customFormat="1" ht="15" customHeight="1" x14ac:dyDescent="0.25">
      <c r="A163" s="340">
        <v>5</v>
      </c>
      <c r="B163" s="350" t="s">
        <v>655</v>
      </c>
      <c r="C163" s="338" t="s">
        <v>1980</v>
      </c>
      <c r="D163" s="430"/>
    </row>
    <row r="164" spans="1:4" s="495" customFormat="1" ht="15" customHeight="1" x14ac:dyDescent="0.25">
      <c r="A164" s="340">
        <v>6</v>
      </c>
      <c r="B164" s="350" t="s">
        <v>536</v>
      </c>
      <c r="C164" s="338" t="s">
        <v>1989</v>
      </c>
      <c r="D164" s="430"/>
    </row>
    <row r="165" spans="1:4" s="495" customFormat="1" ht="15" customHeight="1" x14ac:dyDescent="0.25">
      <c r="A165" s="340">
        <v>7</v>
      </c>
      <c r="B165" s="350" t="s">
        <v>70</v>
      </c>
      <c r="C165" s="338" t="s">
        <v>1977</v>
      </c>
      <c r="D165" s="430"/>
    </row>
    <row r="166" spans="1:4" s="495" customFormat="1" ht="15" customHeight="1" x14ac:dyDescent="0.25">
      <c r="A166" s="340">
        <v>8</v>
      </c>
      <c r="B166" s="350" t="s">
        <v>83</v>
      </c>
      <c r="C166" s="338" t="s">
        <v>1987</v>
      </c>
      <c r="D166" s="430"/>
    </row>
    <row r="167" spans="1:4" s="495" customFormat="1" ht="15" customHeight="1" x14ac:dyDescent="0.25">
      <c r="A167" s="340">
        <v>9</v>
      </c>
      <c r="B167" s="350" t="s">
        <v>85</v>
      </c>
      <c r="C167" s="338" t="s">
        <v>1983</v>
      </c>
      <c r="D167" s="430"/>
    </row>
    <row r="168" spans="1:4" s="495" customFormat="1" ht="15" customHeight="1" x14ac:dyDescent="0.25">
      <c r="A168" s="340">
        <v>10</v>
      </c>
      <c r="B168" s="350" t="s">
        <v>90</v>
      </c>
      <c r="C168" s="338" t="s">
        <v>1468</v>
      </c>
      <c r="D168" s="430"/>
    </row>
    <row r="169" spans="1:4" s="495" customFormat="1" ht="15" customHeight="1" x14ac:dyDescent="0.25">
      <c r="A169" s="340">
        <v>11</v>
      </c>
      <c r="B169" s="350" t="s">
        <v>92</v>
      </c>
      <c r="C169" s="338" t="s">
        <v>1982</v>
      </c>
      <c r="D169" s="430"/>
    </row>
    <row r="170" spans="1:4" s="495" customFormat="1" ht="15" customHeight="1" x14ac:dyDescent="0.25">
      <c r="A170" s="340">
        <v>12</v>
      </c>
      <c r="B170" s="350" t="s">
        <v>66</v>
      </c>
      <c r="C170" s="338" t="s">
        <v>1469</v>
      </c>
      <c r="D170" s="430"/>
    </row>
    <row r="171" spans="1:4" s="495" customFormat="1" ht="15" customHeight="1" x14ac:dyDescent="0.25">
      <c r="A171" s="340">
        <v>13</v>
      </c>
      <c r="B171" s="350" t="s">
        <v>59</v>
      </c>
      <c r="C171" s="338" t="s">
        <v>1986</v>
      </c>
      <c r="D171" s="430"/>
    </row>
    <row r="172" spans="1:4" s="495" customFormat="1" ht="26.25" customHeight="1" x14ac:dyDescent="0.25">
      <c r="A172" s="340"/>
      <c r="B172" s="350" t="s">
        <v>51</v>
      </c>
      <c r="C172" s="338" t="s">
        <v>1337</v>
      </c>
      <c r="D172" s="430" t="s">
        <v>1795</v>
      </c>
    </row>
    <row r="173" spans="1:4" s="495" customFormat="1" ht="15" customHeight="1" x14ac:dyDescent="0.25">
      <c r="A173" s="340"/>
      <c r="B173" s="350" t="s">
        <v>196</v>
      </c>
      <c r="C173" s="338" t="s">
        <v>1988</v>
      </c>
      <c r="D173" s="430"/>
    </row>
    <row r="174" spans="1:4" s="495" customFormat="1" ht="15" customHeight="1" x14ac:dyDescent="0.25">
      <c r="A174" s="340"/>
      <c r="B174" s="350" t="s">
        <v>265</v>
      </c>
      <c r="C174" s="338" t="s">
        <v>1985</v>
      </c>
      <c r="D174" s="430"/>
    </row>
    <row r="175" spans="1:4" s="495" customFormat="1" ht="15" customHeight="1" x14ac:dyDescent="0.25">
      <c r="A175" s="340">
        <v>14</v>
      </c>
      <c r="B175" s="350" t="s">
        <v>345</v>
      </c>
      <c r="C175" s="338" t="s">
        <v>1979</v>
      </c>
      <c r="D175" s="562"/>
    </row>
    <row r="176" spans="1:4" s="495" customFormat="1" ht="15" customHeight="1" x14ac:dyDescent="0.25">
      <c r="A176" s="340">
        <v>15</v>
      </c>
      <c r="B176" s="350" t="s">
        <v>53</v>
      </c>
      <c r="C176" s="338" t="s">
        <v>1991</v>
      </c>
      <c r="D176" s="430"/>
    </row>
    <row r="177" spans="1:4" s="495" customFormat="1" ht="15" customHeight="1" x14ac:dyDescent="0.25">
      <c r="A177" s="340">
        <v>16</v>
      </c>
      <c r="B177" s="350" t="s">
        <v>64</v>
      </c>
      <c r="C177" s="338" t="s">
        <v>1990</v>
      </c>
      <c r="D177" s="430"/>
    </row>
    <row r="178" spans="1:4" s="495" customFormat="1" ht="15" customHeight="1" x14ac:dyDescent="0.25">
      <c r="A178" s="340">
        <v>17</v>
      </c>
      <c r="B178" s="349" t="s">
        <v>669</v>
      </c>
      <c r="C178" s="338" t="s">
        <v>1470</v>
      </c>
      <c r="D178" s="497"/>
    </row>
    <row r="179" spans="1:4" s="495" customFormat="1" ht="15" customHeight="1" x14ac:dyDescent="0.25">
      <c r="A179" s="340">
        <v>18</v>
      </c>
      <c r="B179" s="350" t="s">
        <v>94</v>
      </c>
      <c r="C179" s="338" t="s">
        <v>1471</v>
      </c>
      <c r="D179" s="430"/>
    </row>
    <row r="180" spans="1:4" s="495" customFormat="1" ht="15" customHeight="1" x14ac:dyDescent="0.25">
      <c r="A180" s="340"/>
      <c r="B180" s="390" t="s">
        <v>650</v>
      </c>
      <c r="C180" s="453"/>
      <c r="D180" s="498"/>
    </row>
    <row r="181" spans="1:4" s="495" customFormat="1" ht="15" customHeight="1" x14ac:dyDescent="0.25">
      <c r="A181" s="340">
        <v>1</v>
      </c>
      <c r="B181" s="350" t="s">
        <v>651</v>
      </c>
      <c r="C181" s="338" t="s">
        <v>1994</v>
      </c>
      <c r="D181" s="563"/>
    </row>
    <row r="182" spans="1:4" s="495" customFormat="1" ht="15" customHeight="1" x14ac:dyDescent="0.25">
      <c r="A182" s="340">
        <v>2</v>
      </c>
      <c r="B182" s="350" t="s">
        <v>478</v>
      </c>
      <c r="C182" s="338" t="s">
        <v>1993</v>
      </c>
      <c r="D182" s="430"/>
    </row>
    <row r="183" spans="1:4" s="495" customFormat="1" ht="15" customHeight="1" x14ac:dyDescent="0.25">
      <c r="A183" s="340">
        <v>3</v>
      </c>
      <c r="B183" s="350" t="s">
        <v>100</v>
      </c>
      <c r="C183" s="338" t="s">
        <v>1995</v>
      </c>
      <c r="D183" s="562"/>
    </row>
    <row r="184" spans="1:4" s="495" customFormat="1" ht="15" customHeight="1" x14ac:dyDescent="0.25">
      <c r="A184" s="340">
        <v>4</v>
      </c>
      <c r="B184" s="350" t="s">
        <v>106</v>
      </c>
      <c r="C184" s="338" t="s">
        <v>1998</v>
      </c>
      <c r="D184" s="562"/>
    </row>
    <row r="185" spans="1:4" s="495" customFormat="1" ht="15" customHeight="1" x14ac:dyDescent="0.25">
      <c r="A185" s="340">
        <v>5</v>
      </c>
      <c r="B185" s="350" t="s">
        <v>108</v>
      </c>
      <c r="C185" s="338" t="s">
        <v>1997</v>
      </c>
      <c r="D185" s="562"/>
    </row>
    <row r="186" spans="1:4" s="495" customFormat="1" ht="26.25" customHeight="1" x14ac:dyDescent="0.25">
      <c r="A186" s="340">
        <v>6</v>
      </c>
      <c r="B186" s="349" t="s">
        <v>434</v>
      </c>
      <c r="C186" s="338" t="s">
        <v>1996</v>
      </c>
      <c r="D186" s="562"/>
    </row>
    <row r="187" spans="1:4" s="495" customFormat="1" ht="15" customHeight="1" x14ac:dyDescent="0.25">
      <c r="A187" s="340"/>
      <c r="B187" s="540" t="s">
        <v>1603</v>
      </c>
      <c r="C187" s="336"/>
      <c r="D187" s="562"/>
    </row>
    <row r="188" spans="1:4" s="495" customFormat="1" ht="15" customHeight="1" x14ac:dyDescent="0.25">
      <c r="A188" s="340"/>
      <c r="B188" s="535" t="s">
        <v>1580</v>
      </c>
      <c r="C188" s="338" t="s">
        <v>1999</v>
      </c>
      <c r="D188" s="562"/>
    </row>
    <row r="189" spans="1:4" s="495" customFormat="1" ht="26.25" customHeight="1" x14ac:dyDescent="0.25">
      <c r="A189" s="340"/>
      <c r="B189" s="536" t="s">
        <v>64</v>
      </c>
      <c r="C189" s="338" t="s">
        <v>1337</v>
      </c>
      <c r="D189" s="562" t="s">
        <v>1794</v>
      </c>
    </row>
    <row r="190" spans="1:4" s="495" customFormat="1" ht="15" customHeight="1" x14ac:dyDescent="0.25">
      <c r="A190" s="340"/>
      <c r="B190" s="540" t="s">
        <v>155</v>
      </c>
      <c r="C190" s="336"/>
      <c r="D190" s="562"/>
    </row>
    <row r="191" spans="1:4" s="495" customFormat="1" ht="15" customHeight="1" x14ac:dyDescent="0.25">
      <c r="A191" s="340"/>
      <c r="B191" s="355" t="s">
        <v>32</v>
      </c>
      <c r="C191" s="338" t="s">
        <v>1992</v>
      </c>
      <c r="D191" s="562"/>
    </row>
    <row r="192" spans="1:4" s="495" customFormat="1" ht="15" customHeight="1" x14ac:dyDescent="0.25">
      <c r="A192" s="532"/>
      <c r="B192" s="355" t="s">
        <v>94</v>
      </c>
      <c r="C192" s="340" t="s">
        <v>1595</v>
      </c>
      <c r="D192" s="498"/>
    </row>
    <row r="193" spans="1:4" s="495" customFormat="1" ht="18.75" customHeight="1" x14ac:dyDescent="0.3">
      <c r="A193" s="340"/>
      <c r="B193" s="399" t="s">
        <v>115</v>
      </c>
      <c r="C193" s="385"/>
      <c r="D193" s="498"/>
    </row>
    <row r="194" spans="1:4" s="495" customFormat="1" ht="15" customHeight="1" x14ac:dyDescent="0.25">
      <c r="A194" s="340"/>
      <c r="B194" s="363" t="s">
        <v>39</v>
      </c>
      <c r="C194" s="385"/>
      <c r="D194" s="498"/>
    </row>
    <row r="195" spans="1:4" s="585" customFormat="1" ht="12.75" customHeight="1" x14ac:dyDescent="0.2">
      <c r="A195" s="509">
        <v>1</v>
      </c>
      <c r="B195" s="349" t="s">
        <v>116</v>
      </c>
      <c r="C195" s="338" t="s">
        <v>1472</v>
      </c>
      <c r="D195" s="498"/>
    </row>
    <row r="196" spans="1:4" s="585" customFormat="1" ht="12.75" customHeight="1" x14ac:dyDescent="0.2">
      <c r="A196" s="509">
        <v>2</v>
      </c>
      <c r="B196" s="350" t="s">
        <v>43</v>
      </c>
      <c r="C196" s="338" t="s">
        <v>1473</v>
      </c>
      <c r="D196" s="430"/>
    </row>
    <row r="197" spans="1:4" s="585" customFormat="1" ht="12.75" customHeight="1" x14ac:dyDescent="0.2">
      <c r="A197" s="509">
        <v>4</v>
      </c>
      <c r="B197" s="510" t="s">
        <v>35</v>
      </c>
      <c r="C197" s="338" t="s">
        <v>1474</v>
      </c>
      <c r="D197" s="430"/>
    </row>
    <row r="198" spans="1:4" s="495" customFormat="1" ht="15" customHeight="1" x14ac:dyDescent="0.25">
      <c r="A198" s="340"/>
      <c r="B198" s="531" t="s">
        <v>118</v>
      </c>
      <c r="C198" s="453"/>
      <c r="D198" s="498"/>
    </row>
    <row r="199" spans="1:4" s="495" customFormat="1" ht="15" customHeight="1" x14ac:dyDescent="0.25">
      <c r="A199" s="484">
        <v>1</v>
      </c>
      <c r="B199" s="359" t="s">
        <v>119</v>
      </c>
      <c r="C199" s="338" t="s">
        <v>1475</v>
      </c>
      <c r="D199" s="569"/>
    </row>
    <row r="200" spans="1:4" s="495" customFormat="1" ht="15" customHeight="1" x14ac:dyDescent="0.25">
      <c r="A200" s="484">
        <v>2</v>
      </c>
      <c r="B200" s="359" t="s">
        <v>120</v>
      </c>
      <c r="C200" s="338" t="s">
        <v>1476</v>
      </c>
      <c r="D200" s="498"/>
    </row>
    <row r="201" spans="1:4" s="495" customFormat="1" ht="26.25" customHeight="1" x14ac:dyDescent="0.25">
      <c r="A201" s="484">
        <v>3</v>
      </c>
      <c r="B201" s="350" t="s">
        <v>578</v>
      </c>
      <c r="C201" s="338" t="s">
        <v>1477</v>
      </c>
      <c r="D201" s="498"/>
    </row>
    <row r="202" spans="1:4" s="495" customFormat="1" ht="26.25" customHeight="1" x14ac:dyDescent="0.25">
      <c r="A202" s="484">
        <v>4</v>
      </c>
      <c r="B202" s="350" t="s">
        <v>121</v>
      </c>
      <c r="C202" s="338" t="s">
        <v>1478</v>
      </c>
      <c r="D202" s="498"/>
    </row>
    <row r="203" spans="1:4" s="495" customFormat="1" ht="26.25" customHeight="1" x14ac:dyDescent="0.25">
      <c r="A203" s="484">
        <v>5</v>
      </c>
      <c r="B203" s="349" t="s">
        <v>122</v>
      </c>
      <c r="C203" s="338" t="s">
        <v>1479</v>
      </c>
      <c r="D203" s="569"/>
    </row>
    <row r="204" spans="1:4" s="495" customFormat="1" ht="26.25" customHeight="1" x14ac:dyDescent="0.25">
      <c r="A204" s="484">
        <v>6</v>
      </c>
      <c r="B204" s="350" t="s">
        <v>123</v>
      </c>
      <c r="C204" s="338" t="s">
        <v>1480</v>
      </c>
      <c r="D204" s="498"/>
    </row>
    <row r="205" spans="1:4" s="495" customFormat="1" ht="15" customHeight="1" x14ac:dyDescent="0.25">
      <c r="A205" s="484">
        <v>7</v>
      </c>
      <c r="B205" s="350" t="s">
        <v>559</v>
      </c>
      <c r="C205" s="338" t="s">
        <v>1481</v>
      </c>
      <c r="D205" s="498"/>
    </row>
    <row r="206" spans="1:4" s="495" customFormat="1" ht="15" customHeight="1" x14ac:dyDescent="0.25">
      <c r="A206" s="484">
        <v>8</v>
      </c>
      <c r="B206" s="350" t="s">
        <v>124</v>
      </c>
      <c r="C206" s="338" t="s">
        <v>1482</v>
      </c>
      <c r="D206" s="498"/>
    </row>
    <row r="207" spans="1:4" s="495" customFormat="1" ht="15" customHeight="1" x14ac:dyDescent="0.25">
      <c r="A207" s="484">
        <v>9</v>
      </c>
      <c r="B207" s="350" t="s">
        <v>53</v>
      </c>
      <c r="C207" s="338" t="s">
        <v>1483</v>
      </c>
      <c r="D207" s="498"/>
    </row>
    <row r="208" spans="1:4" s="495" customFormat="1" ht="15" customHeight="1" x14ac:dyDescent="0.25">
      <c r="A208" s="484">
        <v>10</v>
      </c>
      <c r="B208" s="350" t="s">
        <v>246</v>
      </c>
      <c r="C208" s="338" t="s">
        <v>1485</v>
      </c>
      <c r="D208" s="562"/>
    </row>
    <row r="209" spans="1:4" s="495" customFormat="1" ht="26.25" customHeight="1" x14ac:dyDescent="0.25">
      <c r="A209" s="484">
        <v>11</v>
      </c>
      <c r="B209" s="349" t="s">
        <v>64</v>
      </c>
      <c r="C209" s="338" t="s">
        <v>1484</v>
      </c>
      <c r="D209" s="498"/>
    </row>
    <row r="210" spans="1:4" s="495" customFormat="1" ht="15" customHeight="1" x14ac:dyDescent="0.25">
      <c r="A210" s="369">
        <v>16</v>
      </c>
      <c r="B210" s="349" t="s">
        <v>478</v>
      </c>
      <c r="C210" s="338" t="s">
        <v>1488</v>
      </c>
      <c r="D210" s="430"/>
    </row>
    <row r="211" spans="1:4" s="495" customFormat="1" ht="15" customHeight="1" x14ac:dyDescent="0.25">
      <c r="A211" s="524"/>
      <c r="B211" s="525" t="s">
        <v>127</v>
      </c>
      <c r="C211" s="453"/>
      <c r="D211" s="498"/>
    </row>
    <row r="212" spans="1:4" s="495" customFormat="1" ht="26.25" customHeight="1" x14ac:dyDescent="0.25">
      <c r="A212" s="340">
        <v>1</v>
      </c>
      <c r="B212" s="360" t="s">
        <v>128</v>
      </c>
      <c r="C212" s="338" t="s">
        <v>1486</v>
      </c>
      <c r="D212" s="569"/>
    </row>
    <row r="213" spans="1:4" s="495" customFormat="1" ht="15" customHeight="1" x14ac:dyDescent="0.25">
      <c r="A213" s="340">
        <v>2</v>
      </c>
      <c r="B213" s="349" t="s">
        <v>129</v>
      </c>
      <c r="C213" s="338" t="s">
        <v>1487</v>
      </c>
      <c r="D213" s="569"/>
    </row>
    <row r="214" spans="1:4" s="495" customFormat="1" ht="15" customHeight="1" x14ac:dyDescent="0.25">
      <c r="A214" s="340"/>
      <c r="B214" s="351" t="s">
        <v>97</v>
      </c>
      <c r="C214" s="453"/>
      <c r="D214" s="569"/>
    </row>
    <row r="215" spans="1:4" s="495" customFormat="1" ht="15" customHeight="1" x14ac:dyDescent="0.25">
      <c r="A215" s="340">
        <v>1</v>
      </c>
      <c r="B215" s="353" t="s">
        <v>253</v>
      </c>
      <c r="C215" s="338" t="s">
        <v>1394</v>
      </c>
      <c r="D215" s="569"/>
    </row>
    <row r="216" spans="1:4" s="495" customFormat="1" ht="15" customHeight="1" x14ac:dyDescent="0.25">
      <c r="A216" s="340">
        <v>2</v>
      </c>
      <c r="B216" s="353" t="s">
        <v>653</v>
      </c>
      <c r="C216" s="338" t="s">
        <v>1395</v>
      </c>
      <c r="D216" s="569"/>
    </row>
    <row r="217" spans="1:4" s="495" customFormat="1" ht="15" customHeight="1" x14ac:dyDescent="0.25">
      <c r="A217" s="340">
        <v>3</v>
      </c>
      <c r="B217" s="353" t="s">
        <v>106</v>
      </c>
      <c r="C217" s="338" t="s">
        <v>1396</v>
      </c>
      <c r="D217" s="569"/>
    </row>
    <row r="218" spans="1:4" s="495" customFormat="1" ht="18.75" customHeight="1" x14ac:dyDescent="0.3">
      <c r="A218" s="340"/>
      <c r="B218" s="399" t="s">
        <v>133</v>
      </c>
      <c r="C218" s="446"/>
      <c r="D218" s="498"/>
    </row>
    <row r="219" spans="1:4" s="495" customFormat="1" ht="15" customHeight="1" x14ac:dyDescent="0.25">
      <c r="A219" s="340"/>
      <c r="B219" s="511" t="s">
        <v>39</v>
      </c>
      <c r="C219" s="512"/>
      <c r="D219" s="498"/>
    </row>
    <row r="220" spans="1:4" s="495" customFormat="1" ht="15" customHeight="1" x14ac:dyDescent="0.25">
      <c r="A220" s="340">
        <v>1</v>
      </c>
      <c r="B220" s="353" t="s">
        <v>134</v>
      </c>
      <c r="C220" s="338" t="s">
        <v>1489</v>
      </c>
      <c r="D220" s="430"/>
    </row>
    <row r="221" spans="1:4" s="495" customFormat="1" ht="15" customHeight="1" x14ac:dyDescent="0.25">
      <c r="A221" s="340">
        <v>2</v>
      </c>
      <c r="B221" s="359" t="s">
        <v>135</v>
      </c>
      <c r="C221" s="338" t="s">
        <v>1490</v>
      </c>
      <c r="D221" s="430"/>
    </row>
    <row r="222" spans="1:4" s="495" customFormat="1" ht="15" customHeight="1" x14ac:dyDescent="0.25">
      <c r="A222" s="340"/>
      <c r="B222" s="359" t="s">
        <v>548</v>
      </c>
      <c r="C222" s="338" t="s">
        <v>1491</v>
      </c>
      <c r="D222" s="430"/>
    </row>
    <row r="223" spans="1:4" s="495" customFormat="1" ht="15" customHeight="1" x14ac:dyDescent="0.25">
      <c r="A223" s="340">
        <v>3</v>
      </c>
      <c r="B223" s="350" t="s">
        <v>43</v>
      </c>
      <c r="C223" s="338" t="s">
        <v>1492</v>
      </c>
      <c r="D223" s="430"/>
    </row>
    <row r="224" spans="1:4" s="495" customFormat="1" ht="15" customHeight="1" x14ac:dyDescent="0.25">
      <c r="A224" s="340">
        <v>4</v>
      </c>
      <c r="B224" s="350" t="s">
        <v>24</v>
      </c>
      <c r="C224" s="338" t="s">
        <v>1493</v>
      </c>
      <c r="D224" s="430"/>
    </row>
    <row r="225" spans="1:4" s="495" customFormat="1" ht="15" customHeight="1" x14ac:dyDescent="0.25">
      <c r="A225" s="340">
        <v>6</v>
      </c>
      <c r="B225" s="350" t="s">
        <v>35</v>
      </c>
      <c r="C225" s="338" t="s">
        <v>1494</v>
      </c>
      <c r="D225" s="430"/>
    </row>
    <row r="226" spans="1:4" s="495" customFormat="1" ht="15" customHeight="1" x14ac:dyDescent="0.25">
      <c r="A226" s="340"/>
      <c r="B226" s="371" t="s">
        <v>136</v>
      </c>
      <c r="C226" s="385"/>
      <c r="D226" s="498"/>
    </row>
    <row r="227" spans="1:4" s="495" customFormat="1" ht="15" customHeight="1" x14ac:dyDescent="0.25">
      <c r="A227" s="340">
        <v>1</v>
      </c>
      <c r="B227" s="353" t="s">
        <v>47</v>
      </c>
      <c r="C227" s="494" t="s">
        <v>1918</v>
      </c>
      <c r="D227" s="498"/>
    </row>
    <row r="228" spans="1:4" s="495" customFormat="1" ht="15" customHeight="1" x14ac:dyDescent="0.25">
      <c r="A228" s="340"/>
      <c r="B228" s="350" t="s">
        <v>549</v>
      </c>
      <c r="C228" s="338" t="s">
        <v>1495</v>
      </c>
      <c r="D228" s="430"/>
    </row>
    <row r="229" spans="1:4" s="495" customFormat="1" ht="15" customHeight="1" x14ac:dyDescent="0.25">
      <c r="A229" s="340"/>
      <c r="B229" s="350" t="s">
        <v>551</v>
      </c>
      <c r="C229" s="338" t="s">
        <v>1496</v>
      </c>
      <c r="D229" s="430"/>
    </row>
    <row r="230" spans="1:4" s="587" customFormat="1" ht="26.25" customHeight="1" x14ac:dyDescent="0.25">
      <c r="A230" s="481"/>
      <c r="B230" s="473" t="s">
        <v>536</v>
      </c>
      <c r="C230" s="599" t="s">
        <v>1337</v>
      </c>
      <c r="D230" s="601" t="s">
        <v>1499</v>
      </c>
    </row>
    <row r="231" spans="1:4" s="495" customFormat="1" ht="15" customHeight="1" x14ac:dyDescent="0.25">
      <c r="A231" s="340"/>
      <c r="B231" s="350" t="s">
        <v>70</v>
      </c>
      <c r="C231" s="338" t="s">
        <v>1497</v>
      </c>
      <c r="D231" s="430"/>
    </row>
    <row r="232" spans="1:4" s="495" customFormat="1" ht="15" customHeight="1" x14ac:dyDescent="0.25">
      <c r="A232" s="340">
        <v>2</v>
      </c>
      <c r="B232" s="353" t="s">
        <v>53</v>
      </c>
      <c r="C232" s="494" t="s">
        <v>1919</v>
      </c>
      <c r="D232" s="498"/>
    </row>
    <row r="233" spans="1:4" s="495" customFormat="1" ht="15" customHeight="1" x14ac:dyDescent="0.25">
      <c r="A233" s="340">
        <v>3</v>
      </c>
      <c r="B233" s="353" t="s">
        <v>2068</v>
      </c>
      <c r="C233" s="338" t="s">
        <v>2003</v>
      </c>
      <c r="D233" s="498"/>
    </row>
    <row r="234" spans="1:4" s="495" customFormat="1" ht="15" customHeight="1" x14ac:dyDescent="0.25">
      <c r="A234" s="340">
        <v>4</v>
      </c>
      <c r="B234" s="350" t="s">
        <v>64</v>
      </c>
      <c r="C234" s="494" t="s">
        <v>1920</v>
      </c>
      <c r="D234" s="562"/>
    </row>
    <row r="235" spans="1:4" s="495" customFormat="1" ht="15" customHeight="1" x14ac:dyDescent="0.25">
      <c r="A235" s="340"/>
      <c r="B235" s="364" t="s">
        <v>561</v>
      </c>
      <c r="C235" s="494"/>
      <c r="D235" s="498"/>
    </row>
    <row r="236" spans="1:4" s="495" customFormat="1" ht="15" customHeight="1" x14ac:dyDescent="0.25">
      <c r="A236" s="340">
        <v>1</v>
      </c>
      <c r="B236" s="350" t="s">
        <v>562</v>
      </c>
      <c r="C236" s="494" t="s">
        <v>1921</v>
      </c>
      <c r="D236" s="562"/>
    </row>
    <row r="237" spans="1:4" s="495" customFormat="1" ht="15" customHeight="1" x14ac:dyDescent="0.25">
      <c r="A237" s="340"/>
      <c r="B237" s="358" t="s">
        <v>77</v>
      </c>
      <c r="C237" s="494"/>
      <c r="D237" s="498"/>
    </row>
    <row r="238" spans="1:4" s="495" customFormat="1" ht="15" customHeight="1" x14ac:dyDescent="0.25">
      <c r="A238" s="340">
        <v>1</v>
      </c>
      <c r="B238" s="357" t="s">
        <v>2004</v>
      </c>
      <c r="C238" s="494" t="s">
        <v>2006</v>
      </c>
      <c r="D238" s="498"/>
    </row>
    <row r="239" spans="1:4" s="495" customFormat="1" ht="15" customHeight="1" x14ac:dyDescent="0.25">
      <c r="A239" s="340">
        <v>2</v>
      </c>
      <c r="B239" s="357" t="s">
        <v>2005</v>
      </c>
      <c r="C239" s="494" t="s">
        <v>2007</v>
      </c>
      <c r="D239" s="498"/>
    </row>
    <row r="240" spans="1:4" s="495" customFormat="1" ht="15" customHeight="1" x14ac:dyDescent="0.25">
      <c r="A240" s="340">
        <v>3</v>
      </c>
      <c r="B240" s="349" t="s">
        <v>78</v>
      </c>
      <c r="C240" s="494" t="s">
        <v>1922</v>
      </c>
      <c r="D240" s="498"/>
    </row>
    <row r="241" spans="1:4" s="495" customFormat="1" ht="15" customHeight="1" x14ac:dyDescent="0.25">
      <c r="A241" s="340"/>
      <c r="B241" s="351" t="s">
        <v>55</v>
      </c>
      <c r="C241" s="453"/>
      <c r="D241" s="498"/>
    </row>
    <row r="242" spans="1:4" s="495" customFormat="1" ht="15" customHeight="1" x14ac:dyDescent="0.25">
      <c r="A242" s="340">
        <v>1</v>
      </c>
      <c r="B242" s="350" t="s">
        <v>56</v>
      </c>
      <c r="C242" s="494" t="s">
        <v>1923</v>
      </c>
      <c r="D242" s="498"/>
    </row>
    <row r="243" spans="1:4" s="495" customFormat="1" ht="15" customHeight="1" x14ac:dyDescent="0.25">
      <c r="A243" s="340"/>
      <c r="B243" s="350" t="s">
        <v>550</v>
      </c>
      <c r="C243" s="494" t="s">
        <v>2101</v>
      </c>
    </row>
    <row r="244" spans="1:4" s="495" customFormat="1" ht="15" customHeight="1" x14ac:dyDescent="0.25">
      <c r="A244" s="340"/>
      <c r="B244" s="351" t="s">
        <v>60</v>
      </c>
      <c r="C244" s="494"/>
      <c r="D244" s="498"/>
    </row>
    <row r="245" spans="1:4" s="495" customFormat="1" ht="15" customHeight="1" x14ac:dyDescent="0.25">
      <c r="A245" s="340">
        <v>1</v>
      </c>
      <c r="B245" s="350" t="s">
        <v>62</v>
      </c>
      <c r="C245" s="494" t="s">
        <v>1924</v>
      </c>
      <c r="D245" s="498"/>
    </row>
    <row r="246" spans="1:4" s="495" customFormat="1" ht="15" customHeight="1" x14ac:dyDescent="0.25">
      <c r="A246" s="340"/>
      <c r="B246" s="351" t="s">
        <v>80</v>
      </c>
      <c r="C246" s="338"/>
      <c r="D246" s="498"/>
    </row>
    <row r="247" spans="1:4" s="495" customFormat="1" ht="15" customHeight="1" x14ac:dyDescent="0.25">
      <c r="A247" s="340">
        <v>1</v>
      </c>
      <c r="B247" s="350" t="s">
        <v>81</v>
      </c>
      <c r="C247" s="494" t="s">
        <v>1925</v>
      </c>
      <c r="D247" s="498"/>
    </row>
    <row r="248" spans="1:4" s="495" customFormat="1" ht="15" customHeight="1" x14ac:dyDescent="0.25">
      <c r="A248" s="340"/>
      <c r="B248" s="351" t="s">
        <v>82</v>
      </c>
      <c r="C248" s="494"/>
      <c r="D248" s="498"/>
    </row>
    <row r="249" spans="1:4" s="495" customFormat="1" ht="15" customHeight="1" x14ac:dyDescent="0.25">
      <c r="A249" s="340">
        <v>1</v>
      </c>
      <c r="B249" s="350" t="s">
        <v>83</v>
      </c>
      <c r="C249" s="494" t="s">
        <v>1926</v>
      </c>
      <c r="D249" s="498"/>
    </row>
    <row r="250" spans="1:4" s="495" customFormat="1" ht="15" customHeight="1" x14ac:dyDescent="0.25">
      <c r="A250" s="340">
        <v>2</v>
      </c>
      <c r="B250" s="350" t="s">
        <v>536</v>
      </c>
      <c r="C250" s="338" t="s">
        <v>1498</v>
      </c>
      <c r="D250" s="430"/>
    </row>
    <row r="251" spans="1:4" s="495" customFormat="1" ht="15" customHeight="1" x14ac:dyDescent="0.25">
      <c r="A251" s="340"/>
      <c r="B251" s="350" t="s">
        <v>1796</v>
      </c>
      <c r="C251" s="338" t="s">
        <v>1581</v>
      </c>
      <c r="D251" s="430"/>
    </row>
    <row r="252" spans="1:4" s="495" customFormat="1" ht="15" customHeight="1" x14ac:dyDescent="0.25">
      <c r="A252" s="340">
        <v>3</v>
      </c>
      <c r="B252" s="350" t="s">
        <v>577</v>
      </c>
      <c r="C252" s="494" t="s">
        <v>2073</v>
      </c>
      <c r="D252" s="498"/>
    </row>
    <row r="253" spans="1:4" s="495" customFormat="1" ht="15" customHeight="1" x14ac:dyDescent="0.25">
      <c r="A253" s="340"/>
      <c r="B253" s="351" t="s">
        <v>137</v>
      </c>
      <c r="C253" s="446"/>
      <c r="D253" s="498"/>
    </row>
    <row r="254" spans="1:4" s="495" customFormat="1" ht="15" customHeight="1" x14ac:dyDescent="0.25">
      <c r="A254" s="340">
        <v>1</v>
      </c>
      <c r="B254" s="353" t="s">
        <v>138</v>
      </c>
      <c r="C254" s="338" t="s">
        <v>1500</v>
      </c>
      <c r="D254" s="430"/>
    </row>
    <row r="255" spans="1:4" s="495" customFormat="1" ht="15" customHeight="1" x14ac:dyDescent="0.25">
      <c r="A255" s="340">
        <v>2</v>
      </c>
      <c r="B255" s="350" t="s">
        <v>68</v>
      </c>
      <c r="C255" s="494" t="s">
        <v>1927</v>
      </c>
      <c r="D255" s="498"/>
    </row>
    <row r="256" spans="1:4" s="495" customFormat="1" ht="15" customHeight="1" x14ac:dyDescent="0.25">
      <c r="A256" s="340">
        <v>3</v>
      </c>
      <c r="B256" s="350" t="s">
        <v>64</v>
      </c>
      <c r="C256" s="494" t="s">
        <v>1928</v>
      </c>
      <c r="D256" s="498"/>
    </row>
    <row r="257" spans="1:4" s="495" customFormat="1" ht="15" customHeight="1" x14ac:dyDescent="0.25">
      <c r="A257" s="340">
        <v>4</v>
      </c>
      <c r="B257" s="350" t="s">
        <v>94</v>
      </c>
      <c r="C257" s="338" t="s">
        <v>1501</v>
      </c>
      <c r="D257" s="430"/>
    </row>
    <row r="258" spans="1:4" s="495" customFormat="1" ht="15" customHeight="1" x14ac:dyDescent="0.25">
      <c r="A258" s="340"/>
      <c r="B258" s="368" t="s">
        <v>139</v>
      </c>
      <c r="C258" s="453"/>
      <c r="D258" s="498"/>
    </row>
    <row r="259" spans="1:4" s="495" customFormat="1" ht="15" customHeight="1" x14ac:dyDescent="0.25">
      <c r="A259" s="340">
        <v>5</v>
      </c>
      <c r="B259" s="350" t="s">
        <v>68</v>
      </c>
      <c r="C259" s="494" t="s">
        <v>1929</v>
      </c>
      <c r="D259" s="498"/>
    </row>
    <row r="260" spans="1:4" s="495" customFormat="1" ht="15" customHeight="1" x14ac:dyDescent="0.25">
      <c r="A260" s="340"/>
      <c r="B260" s="351" t="s">
        <v>84</v>
      </c>
      <c r="C260" s="494"/>
      <c r="D260" s="498"/>
    </row>
    <row r="261" spans="1:4" s="495" customFormat="1" ht="15" customHeight="1" x14ac:dyDescent="0.25">
      <c r="A261" s="340">
        <v>1</v>
      </c>
      <c r="B261" s="350" t="s">
        <v>85</v>
      </c>
      <c r="C261" s="494" t="s">
        <v>1930</v>
      </c>
      <c r="D261" s="498"/>
    </row>
    <row r="262" spans="1:4" s="495" customFormat="1" ht="15" customHeight="1" x14ac:dyDescent="0.25">
      <c r="A262" s="340">
        <v>2</v>
      </c>
      <c r="B262" s="350" t="s">
        <v>141</v>
      </c>
      <c r="C262" s="494" t="s">
        <v>1931</v>
      </c>
      <c r="D262" s="498"/>
    </row>
    <row r="263" spans="1:4" s="495" customFormat="1" ht="15" customHeight="1" x14ac:dyDescent="0.25">
      <c r="A263" s="340"/>
      <c r="B263" s="351" t="s">
        <v>87</v>
      </c>
      <c r="C263" s="494"/>
      <c r="D263" s="498"/>
    </row>
    <row r="264" spans="1:4" s="495" customFormat="1" ht="15" customHeight="1" x14ac:dyDescent="0.25">
      <c r="A264" s="340">
        <v>1</v>
      </c>
      <c r="B264" s="350" t="s">
        <v>88</v>
      </c>
      <c r="C264" s="494" t="s">
        <v>1932</v>
      </c>
      <c r="D264" s="498"/>
    </row>
    <row r="265" spans="1:4" s="495" customFormat="1" ht="15" customHeight="1" x14ac:dyDescent="0.25">
      <c r="A265" s="340">
        <v>2</v>
      </c>
      <c r="B265" s="350" t="s">
        <v>670</v>
      </c>
      <c r="C265" s="338" t="s">
        <v>1502</v>
      </c>
      <c r="D265" s="430"/>
    </row>
    <row r="266" spans="1:4" s="495" customFormat="1" ht="15" customHeight="1" x14ac:dyDescent="0.25">
      <c r="A266" s="340">
        <v>3</v>
      </c>
      <c r="B266" s="395" t="s">
        <v>64</v>
      </c>
      <c r="C266" s="338" t="s">
        <v>1503</v>
      </c>
      <c r="D266" s="430"/>
    </row>
    <row r="267" spans="1:4" s="495" customFormat="1" ht="15" customHeight="1" x14ac:dyDescent="0.25">
      <c r="A267" s="340"/>
      <c r="B267" s="351" t="s">
        <v>58</v>
      </c>
      <c r="C267" s="453"/>
      <c r="D267" s="498"/>
    </row>
    <row r="268" spans="1:4" s="495" customFormat="1" ht="15" customHeight="1" x14ac:dyDescent="0.25">
      <c r="A268" s="340">
        <v>1</v>
      </c>
      <c r="B268" s="350" t="s">
        <v>59</v>
      </c>
      <c r="C268" s="494" t="s">
        <v>1933</v>
      </c>
      <c r="D268" s="498"/>
    </row>
    <row r="269" spans="1:4" s="495" customFormat="1" ht="15" customHeight="1" x14ac:dyDescent="0.25">
      <c r="A269" s="340"/>
      <c r="B269" s="368" t="s">
        <v>144</v>
      </c>
      <c r="C269" s="387"/>
      <c r="D269" s="498"/>
    </row>
    <row r="270" spans="1:4" s="495" customFormat="1" ht="15" customHeight="1" x14ac:dyDescent="0.25">
      <c r="A270" s="340">
        <v>1</v>
      </c>
      <c r="B270" s="355" t="s">
        <v>145</v>
      </c>
      <c r="C270" s="494" t="s">
        <v>1934</v>
      </c>
      <c r="D270" s="498"/>
    </row>
    <row r="271" spans="1:4" s="495" customFormat="1" ht="15" customHeight="1" x14ac:dyDescent="0.25">
      <c r="A271" s="340"/>
      <c r="B271" s="368" t="s">
        <v>146</v>
      </c>
      <c r="C271" s="387"/>
      <c r="D271" s="498"/>
    </row>
    <row r="272" spans="1:4" s="495" customFormat="1" ht="15" customHeight="1" x14ac:dyDescent="0.25">
      <c r="A272" s="340">
        <v>1</v>
      </c>
      <c r="B272" s="355" t="s">
        <v>147</v>
      </c>
      <c r="C272" s="494" t="s">
        <v>1935</v>
      </c>
      <c r="D272" s="498"/>
    </row>
    <row r="273" spans="1:4" s="495" customFormat="1" ht="15" customHeight="1" x14ac:dyDescent="0.25">
      <c r="A273" s="340"/>
      <c r="B273" s="368" t="s">
        <v>65</v>
      </c>
      <c r="C273" s="453"/>
      <c r="D273" s="498"/>
    </row>
    <row r="274" spans="1:4" s="495" customFormat="1" ht="15" customHeight="1" x14ac:dyDescent="0.25">
      <c r="A274" s="340">
        <v>1</v>
      </c>
      <c r="B274" s="350" t="s">
        <v>66</v>
      </c>
      <c r="C274" s="494" t="s">
        <v>1936</v>
      </c>
      <c r="D274" s="430"/>
    </row>
    <row r="275" spans="1:4" s="587" customFormat="1" ht="26.25" customHeight="1" x14ac:dyDescent="0.25">
      <c r="A275" s="481">
        <v>2</v>
      </c>
      <c r="B275" s="600" t="s">
        <v>64</v>
      </c>
      <c r="C275" s="599" t="s">
        <v>1337</v>
      </c>
      <c r="D275" s="597" t="s">
        <v>2074</v>
      </c>
    </row>
    <row r="276" spans="1:4" s="495" customFormat="1" ht="15" customHeight="1" x14ac:dyDescent="0.25">
      <c r="A276" s="340"/>
      <c r="B276" s="483" t="s">
        <v>148</v>
      </c>
      <c r="C276" s="387"/>
      <c r="D276" s="498"/>
    </row>
    <row r="277" spans="1:4" s="495" customFormat="1" ht="15" customHeight="1" x14ac:dyDescent="0.25">
      <c r="A277" s="340">
        <v>1</v>
      </c>
      <c r="B277" s="353" t="s">
        <v>149</v>
      </c>
      <c r="C277" s="494" t="s">
        <v>1937</v>
      </c>
      <c r="D277" s="430"/>
    </row>
    <row r="278" spans="1:4" s="495" customFormat="1" ht="15" customHeight="1" x14ac:dyDescent="0.25">
      <c r="A278" s="340">
        <v>2</v>
      </c>
      <c r="B278" s="353" t="s">
        <v>75</v>
      </c>
      <c r="C278" s="494" t="s">
        <v>1938</v>
      </c>
      <c r="D278" s="498"/>
    </row>
    <row r="279" spans="1:4" s="495" customFormat="1" ht="15" customHeight="1" x14ac:dyDescent="0.25">
      <c r="A279" s="340">
        <v>3</v>
      </c>
      <c r="B279" s="353" t="s">
        <v>76</v>
      </c>
      <c r="C279" s="494" t="s">
        <v>1939</v>
      </c>
      <c r="D279" s="498"/>
    </row>
    <row r="280" spans="1:4" s="495" customFormat="1" ht="15" customHeight="1" x14ac:dyDescent="0.25">
      <c r="A280" s="340">
        <v>4</v>
      </c>
      <c r="B280" s="350" t="s">
        <v>32</v>
      </c>
      <c r="C280" s="494" t="s">
        <v>1940</v>
      </c>
      <c r="D280" s="498"/>
    </row>
    <row r="281" spans="1:4" s="495" customFormat="1" ht="15" customHeight="1" x14ac:dyDescent="0.25">
      <c r="A281" s="340">
        <v>5</v>
      </c>
      <c r="B281" s="350" t="s">
        <v>81</v>
      </c>
      <c r="C281" s="494" t="s">
        <v>1941</v>
      </c>
      <c r="D281" s="498"/>
    </row>
    <row r="282" spans="1:4" s="495" customFormat="1" ht="15" customHeight="1" x14ac:dyDescent="0.25">
      <c r="A282" s="340">
        <v>6</v>
      </c>
      <c r="B282" s="350" t="s">
        <v>83</v>
      </c>
      <c r="C282" s="494" t="s">
        <v>1942</v>
      </c>
      <c r="D282" s="430"/>
    </row>
    <row r="283" spans="1:4" s="495" customFormat="1" ht="15" customHeight="1" x14ac:dyDescent="0.25">
      <c r="A283" s="340">
        <v>7</v>
      </c>
      <c r="B283" s="350" t="s">
        <v>85</v>
      </c>
      <c r="C283" s="338" t="s">
        <v>1504</v>
      </c>
      <c r="D283" s="430"/>
    </row>
    <row r="284" spans="1:4" s="495" customFormat="1" ht="15" customHeight="1" x14ac:dyDescent="0.25">
      <c r="A284" s="340">
        <v>8</v>
      </c>
      <c r="B284" s="350" t="s">
        <v>88</v>
      </c>
      <c r="C284" s="338" t="s">
        <v>1505</v>
      </c>
      <c r="D284" s="430"/>
    </row>
    <row r="285" spans="1:4" s="495" customFormat="1" ht="15" customHeight="1" x14ac:dyDescent="0.25">
      <c r="A285" s="340">
        <v>9</v>
      </c>
      <c r="B285" s="353" t="s">
        <v>53</v>
      </c>
      <c r="C285" s="494" t="s">
        <v>1943</v>
      </c>
      <c r="D285" s="498"/>
    </row>
    <row r="286" spans="1:4" s="495" customFormat="1" ht="19.5" customHeight="1" x14ac:dyDescent="0.25">
      <c r="A286" s="340">
        <v>10</v>
      </c>
      <c r="B286" s="355" t="s">
        <v>64</v>
      </c>
      <c r="C286" s="494" t="s">
        <v>1944</v>
      </c>
      <c r="D286" s="430"/>
    </row>
    <row r="287" spans="1:4" s="495" customFormat="1" ht="15" customHeight="1" x14ac:dyDescent="0.25">
      <c r="A287" s="340">
        <v>11</v>
      </c>
      <c r="B287" s="350" t="s">
        <v>141</v>
      </c>
      <c r="C287" s="338" t="s">
        <v>1506</v>
      </c>
      <c r="D287" s="430"/>
    </row>
    <row r="288" spans="1:4" s="495" customFormat="1" ht="15" customHeight="1" x14ac:dyDescent="0.25">
      <c r="A288" s="340">
        <v>12</v>
      </c>
      <c r="B288" s="353" t="s">
        <v>478</v>
      </c>
      <c r="C288" s="494" t="s">
        <v>1945</v>
      </c>
      <c r="D288" s="430"/>
    </row>
    <row r="289" spans="1:4" s="495" customFormat="1" ht="15" customHeight="1" x14ac:dyDescent="0.25">
      <c r="A289" s="340">
        <v>13</v>
      </c>
      <c r="B289" s="353" t="s">
        <v>2069</v>
      </c>
      <c r="C289" s="534" t="s">
        <v>1984</v>
      </c>
      <c r="D289" s="430" t="s">
        <v>2070</v>
      </c>
    </row>
    <row r="290" spans="1:4" s="586" customFormat="1" ht="12.75" customHeight="1" x14ac:dyDescent="0.2">
      <c r="A290" s="353">
        <v>14</v>
      </c>
      <c r="B290" s="353" t="s">
        <v>653</v>
      </c>
      <c r="C290" s="334" t="s">
        <v>1946</v>
      </c>
      <c r="D290" s="570"/>
    </row>
    <row r="291" spans="1:4" s="495" customFormat="1" ht="15" customHeight="1" x14ac:dyDescent="0.25">
      <c r="A291" s="340"/>
      <c r="B291" s="513" t="s">
        <v>151</v>
      </c>
      <c r="C291" s="453"/>
      <c r="D291" s="498"/>
    </row>
    <row r="292" spans="1:4" s="495" customFormat="1" ht="15" customHeight="1" x14ac:dyDescent="0.25">
      <c r="A292" s="340">
        <v>1</v>
      </c>
      <c r="B292" s="350" t="s">
        <v>152</v>
      </c>
      <c r="C292" s="494" t="s">
        <v>1947</v>
      </c>
      <c r="D292" s="498"/>
    </row>
    <row r="293" spans="1:4" s="495" customFormat="1" ht="15" customHeight="1" x14ac:dyDescent="0.25">
      <c r="A293" s="340">
        <v>2</v>
      </c>
      <c r="B293" s="350" t="s">
        <v>90</v>
      </c>
      <c r="C293" s="494" t="s">
        <v>1948</v>
      </c>
      <c r="D293" s="498"/>
    </row>
    <row r="294" spans="1:4" s="495" customFormat="1" ht="15" customHeight="1" x14ac:dyDescent="0.25">
      <c r="A294" s="340">
        <v>3</v>
      </c>
      <c r="B294" s="350" t="s">
        <v>53</v>
      </c>
      <c r="C294" s="494" t="s">
        <v>1949</v>
      </c>
      <c r="D294" s="498"/>
    </row>
    <row r="295" spans="1:4" s="495" customFormat="1" ht="15" customHeight="1" x14ac:dyDescent="0.25">
      <c r="A295" s="340">
        <v>4</v>
      </c>
      <c r="B295" s="350" t="s">
        <v>64</v>
      </c>
      <c r="C295" s="494" t="s">
        <v>1950</v>
      </c>
      <c r="D295" s="498"/>
    </row>
    <row r="296" spans="1:4" s="495" customFormat="1" ht="15" customHeight="1" x14ac:dyDescent="0.25">
      <c r="A296" s="340">
        <v>7</v>
      </c>
      <c r="B296" s="350" t="s">
        <v>478</v>
      </c>
      <c r="C296" s="338" t="s">
        <v>1507</v>
      </c>
      <c r="D296" s="430"/>
    </row>
    <row r="297" spans="1:4" s="495" customFormat="1" ht="15" customHeight="1" x14ac:dyDescent="0.25">
      <c r="A297" s="340"/>
      <c r="B297" s="514" t="s">
        <v>479</v>
      </c>
      <c r="C297" s="338"/>
      <c r="D297" s="498"/>
    </row>
    <row r="298" spans="1:4" s="495" customFormat="1" ht="15" customHeight="1" x14ac:dyDescent="0.25">
      <c r="A298" s="340">
        <v>1</v>
      </c>
      <c r="B298" s="349" t="s">
        <v>480</v>
      </c>
      <c r="C298" s="494" t="s">
        <v>1951</v>
      </c>
      <c r="D298" s="498"/>
    </row>
    <row r="299" spans="1:4" s="495" customFormat="1" ht="15" customHeight="1" x14ac:dyDescent="0.25">
      <c r="A299" s="340">
        <v>2</v>
      </c>
      <c r="B299" s="349" t="s">
        <v>94</v>
      </c>
      <c r="C299" s="494" t="s">
        <v>1952</v>
      </c>
      <c r="D299" s="498"/>
    </row>
    <row r="300" spans="1:4" s="495" customFormat="1" ht="15" customHeight="1" x14ac:dyDescent="0.25">
      <c r="A300" s="340">
        <v>4</v>
      </c>
      <c r="B300" s="350" t="s">
        <v>269</v>
      </c>
      <c r="C300" s="494" t="s">
        <v>2008</v>
      </c>
      <c r="D300" s="498"/>
    </row>
    <row r="301" spans="1:4" s="495" customFormat="1" ht="15" customHeight="1" x14ac:dyDescent="0.25">
      <c r="A301" s="340"/>
      <c r="B301" s="547" t="s">
        <v>80</v>
      </c>
      <c r="C301" s="338"/>
      <c r="D301" s="498"/>
    </row>
    <row r="302" spans="1:4" s="495" customFormat="1" ht="15" customHeight="1" x14ac:dyDescent="0.25">
      <c r="A302" s="340">
        <v>5</v>
      </c>
      <c r="B302" s="350" t="s">
        <v>81</v>
      </c>
      <c r="C302" s="494" t="s">
        <v>1956</v>
      </c>
      <c r="D302" s="430"/>
    </row>
    <row r="303" spans="1:4" s="495" customFormat="1" ht="15" customHeight="1" x14ac:dyDescent="0.25">
      <c r="A303" s="340"/>
      <c r="B303" s="354" t="s">
        <v>91</v>
      </c>
      <c r="C303" s="338"/>
      <c r="D303" s="498"/>
    </row>
    <row r="304" spans="1:4" s="495" customFormat="1" ht="15" customHeight="1" x14ac:dyDescent="0.25">
      <c r="A304" s="340">
        <v>7</v>
      </c>
      <c r="B304" s="350" t="s">
        <v>92</v>
      </c>
      <c r="C304" s="494" t="s">
        <v>1953</v>
      </c>
      <c r="D304" s="498"/>
    </row>
    <row r="305" spans="1:4" s="495" customFormat="1" ht="15" customHeight="1" x14ac:dyDescent="0.25">
      <c r="A305" s="340">
        <v>8</v>
      </c>
      <c r="B305" s="350" t="s">
        <v>64</v>
      </c>
      <c r="C305" s="494" t="s">
        <v>1954</v>
      </c>
      <c r="D305" s="498"/>
    </row>
    <row r="306" spans="1:4" s="495" customFormat="1" ht="15" customHeight="1" x14ac:dyDescent="0.25">
      <c r="A306" s="340"/>
      <c r="B306" s="354" t="s">
        <v>481</v>
      </c>
      <c r="C306" s="515"/>
      <c r="D306" s="498"/>
    </row>
    <row r="307" spans="1:4" s="495" customFormat="1" ht="15" customHeight="1" x14ac:dyDescent="0.25">
      <c r="A307" s="340">
        <v>9</v>
      </c>
      <c r="B307" s="349" t="s">
        <v>143</v>
      </c>
      <c r="C307" s="494" t="s">
        <v>1955</v>
      </c>
      <c r="D307" s="498"/>
    </row>
    <row r="308" spans="1:4" s="495" customFormat="1" ht="15" customHeight="1" x14ac:dyDescent="0.25">
      <c r="A308" s="369">
        <v>10</v>
      </c>
      <c r="B308" s="349" t="s">
        <v>482</v>
      </c>
      <c r="C308" s="494" t="s">
        <v>2009</v>
      </c>
      <c r="D308" s="498"/>
    </row>
    <row r="309" spans="1:4" s="495" customFormat="1" ht="15" customHeight="1" x14ac:dyDescent="0.25">
      <c r="A309" s="340"/>
      <c r="B309" s="368" t="s">
        <v>155</v>
      </c>
      <c r="C309" s="385"/>
      <c r="D309" s="498"/>
    </row>
    <row r="310" spans="1:4" s="495" customFormat="1" ht="15" customHeight="1" x14ac:dyDescent="0.25">
      <c r="A310" s="340">
        <v>1</v>
      </c>
      <c r="B310" s="357" t="s">
        <v>32</v>
      </c>
      <c r="C310" s="494" t="s">
        <v>1957</v>
      </c>
      <c r="D310" s="498"/>
    </row>
    <row r="311" spans="1:4" s="495" customFormat="1" ht="15" customHeight="1" x14ac:dyDescent="0.25">
      <c r="A311" s="340">
        <v>2</v>
      </c>
      <c r="B311" s="350" t="s">
        <v>94</v>
      </c>
      <c r="C311" s="338" t="s">
        <v>1508</v>
      </c>
      <c r="D311" s="430"/>
    </row>
    <row r="312" spans="1:4" s="495" customFormat="1" ht="15" customHeight="1" x14ac:dyDescent="0.25">
      <c r="A312" s="340">
        <v>3</v>
      </c>
      <c r="B312" s="350" t="s">
        <v>210</v>
      </c>
      <c r="C312" s="338" t="s">
        <v>1509</v>
      </c>
      <c r="D312" s="430"/>
    </row>
    <row r="313" spans="1:4" s="495" customFormat="1" ht="15" customHeight="1" x14ac:dyDescent="0.25">
      <c r="A313" s="340"/>
      <c r="B313" s="351" t="s">
        <v>93</v>
      </c>
      <c r="C313" s="453"/>
      <c r="D313" s="498"/>
    </row>
    <row r="314" spans="1:4" s="495" customFormat="1" ht="15" customHeight="1" x14ac:dyDescent="0.25">
      <c r="A314" s="340">
        <v>1</v>
      </c>
      <c r="B314" s="350" t="s">
        <v>94</v>
      </c>
      <c r="C314" s="494" t="s">
        <v>1958</v>
      </c>
      <c r="D314" s="498"/>
    </row>
    <row r="315" spans="1:4" s="495" customFormat="1" ht="15" customHeight="1" x14ac:dyDescent="0.25">
      <c r="A315" s="340"/>
      <c r="B315" s="351" t="s">
        <v>95</v>
      </c>
      <c r="C315" s="385"/>
      <c r="D315" s="498"/>
    </row>
    <row r="316" spans="1:4" s="495" customFormat="1" ht="15" customHeight="1" x14ac:dyDescent="0.25">
      <c r="A316" s="340">
        <v>1</v>
      </c>
      <c r="B316" s="350" t="s">
        <v>475</v>
      </c>
      <c r="C316" s="338" t="s">
        <v>1510</v>
      </c>
      <c r="D316" s="498"/>
    </row>
    <row r="317" spans="1:4" s="495" customFormat="1" ht="15" customHeight="1" x14ac:dyDescent="0.25">
      <c r="A317" s="340">
        <v>2</v>
      </c>
      <c r="B317" s="350" t="s">
        <v>476</v>
      </c>
      <c r="C317" s="338" t="s">
        <v>1511</v>
      </c>
      <c r="D317" s="571"/>
    </row>
    <row r="318" spans="1:4" s="495" customFormat="1" ht="24" customHeight="1" x14ac:dyDescent="0.25">
      <c r="A318" s="340">
        <v>3</v>
      </c>
      <c r="B318" s="350" t="s">
        <v>478</v>
      </c>
      <c r="C318" s="338" t="s">
        <v>1512</v>
      </c>
      <c r="D318" s="571"/>
    </row>
    <row r="319" spans="1:4" s="495" customFormat="1" ht="24" customHeight="1" x14ac:dyDescent="0.25">
      <c r="A319" s="340"/>
      <c r="B319" s="351" t="s">
        <v>97</v>
      </c>
      <c r="C319" s="338"/>
      <c r="D319" s="571"/>
    </row>
    <row r="320" spans="1:4" s="495" customFormat="1" ht="26.25" customHeight="1" x14ac:dyDescent="0.25">
      <c r="A320" s="340"/>
      <c r="B320" s="541" t="s">
        <v>1605</v>
      </c>
      <c r="C320" s="338" t="s">
        <v>1604</v>
      </c>
      <c r="D320" s="498"/>
    </row>
    <row r="321" spans="1:4" s="495" customFormat="1" ht="18" customHeight="1" x14ac:dyDescent="0.25">
      <c r="A321" s="340">
        <v>1</v>
      </c>
      <c r="B321" s="353" t="s">
        <v>253</v>
      </c>
      <c r="C321" s="494" t="s">
        <v>1959</v>
      </c>
      <c r="D321" s="498"/>
    </row>
    <row r="322" spans="1:4" s="495" customFormat="1" ht="15" customHeight="1" x14ac:dyDescent="0.25">
      <c r="A322" s="340">
        <v>2</v>
      </c>
      <c r="B322" s="353" t="s">
        <v>653</v>
      </c>
      <c r="C322" s="494" t="s">
        <v>1960</v>
      </c>
      <c r="D322" s="498"/>
    </row>
    <row r="323" spans="1:4" s="495" customFormat="1" ht="15" customHeight="1" x14ac:dyDescent="0.25">
      <c r="A323" s="340">
        <v>3</v>
      </c>
      <c r="B323" s="353" t="s">
        <v>106</v>
      </c>
      <c r="C323" s="494" t="s">
        <v>1961</v>
      </c>
      <c r="D323" s="498"/>
    </row>
    <row r="324" spans="1:4" s="495" customFormat="1" ht="18.75" customHeight="1" x14ac:dyDescent="0.3">
      <c r="A324" s="398"/>
      <c r="B324" s="399" t="s">
        <v>157</v>
      </c>
      <c r="C324" s="446"/>
      <c r="D324" s="498"/>
    </row>
    <row r="325" spans="1:4" s="495" customFormat="1" ht="15" customHeight="1" x14ac:dyDescent="0.25">
      <c r="A325" s="398"/>
      <c r="B325" s="363" t="s">
        <v>39</v>
      </c>
      <c r="C325" s="385"/>
      <c r="D325" s="498"/>
    </row>
    <row r="326" spans="1:4" s="495" customFormat="1" ht="15" customHeight="1" x14ac:dyDescent="0.25">
      <c r="A326" s="334">
        <v>1</v>
      </c>
      <c r="B326" s="353" t="s">
        <v>134</v>
      </c>
      <c r="C326" s="338" t="s">
        <v>1803</v>
      </c>
      <c r="D326" s="498"/>
    </row>
    <row r="327" spans="1:4" s="495" customFormat="1" ht="15" customHeight="1" x14ac:dyDescent="0.25">
      <c r="A327" s="334">
        <v>2</v>
      </c>
      <c r="B327" s="359" t="s">
        <v>548</v>
      </c>
      <c r="C327" s="338" t="s">
        <v>1805</v>
      </c>
      <c r="D327" s="498"/>
    </row>
    <row r="328" spans="1:4" s="495" customFormat="1" ht="15" customHeight="1" x14ac:dyDescent="0.25">
      <c r="A328" s="334">
        <v>3</v>
      </c>
      <c r="B328" s="359" t="s">
        <v>135</v>
      </c>
      <c r="C328" s="338" t="s">
        <v>1804</v>
      </c>
      <c r="D328" s="498"/>
    </row>
    <row r="329" spans="1:4" s="495" customFormat="1" ht="15" customHeight="1" x14ac:dyDescent="0.25">
      <c r="A329" s="334">
        <v>4</v>
      </c>
      <c r="B329" s="350" t="s">
        <v>43</v>
      </c>
      <c r="C329" s="338" t="s">
        <v>1806</v>
      </c>
      <c r="D329" s="498"/>
    </row>
    <row r="330" spans="1:4" s="495" customFormat="1" ht="15" customHeight="1" x14ac:dyDescent="0.25">
      <c r="A330" s="334">
        <v>5</v>
      </c>
      <c r="B330" s="350" t="s">
        <v>24</v>
      </c>
      <c r="C330" s="338" t="s">
        <v>1807</v>
      </c>
      <c r="D330" s="498"/>
    </row>
    <row r="331" spans="1:4" s="495" customFormat="1" ht="15" customHeight="1" x14ac:dyDescent="0.25">
      <c r="A331" s="340">
        <v>7</v>
      </c>
      <c r="B331" s="350" t="s">
        <v>35</v>
      </c>
      <c r="C331" s="338" t="s">
        <v>1808</v>
      </c>
      <c r="D331" s="430"/>
    </row>
    <row r="332" spans="1:4" s="495" customFormat="1" ht="15" customHeight="1" x14ac:dyDescent="0.25">
      <c r="A332" s="334"/>
      <c r="B332" s="358" t="s">
        <v>136</v>
      </c>
      <c r="C332" s="338"/>
      <c r="D332" s="498"/>
    </row>
    <row r="333" spans="1:4" s="495" customFormat="1" ht="15" customHeight="1" x14ac:dyDescent="0.25">
      <c r="A333" s="334">
        <v>1</v>
      </c>
      <c r="B333" s="353" t="s">
        <v>47</v>
      </c>
      <c r="C333" s="338" t="s">
        <v>1809</v>
      </c>
      <c r="D333" s="498"/>
    </row>
    <row r="334" spans="1:4" s="495" customFormat="1" ht="15" customHeight="1" x14ac:dyDescent="0.25">
      <c r="A334" s="369">
        <v>2</v>
      </c>
      <c r="B334" s="350" t="s">
        <v>551</v>
      </c>
      <c r="C334" s="338" t="s">
        <v>1810</v>
      </c>
      <c r="D334" s="430"/>
    </row>
    <row r="335" spans="1:4" s="495" customFormat="1" ht="15" customHeight="1" x14ac:dyDescent="0.25">
      <c r="A335" s="334">
        <v>3</v>
      </c>
      <c r="B335" s="353" t="s">
        <v>70</v>
      </c>
      <c r="C335" s="338" t="s">
        <v>1811</v>
      </c>
      <c r="D335" s="430"/>
    </row>
    <row r="336" spans="1:4" s="495" customFormat="1" x14ac:dyDescent="0.25">
      <c r="A336" s="334"/>
      <c r="B336" s="353"/>
      <c r="C336" s="338"/>
      <c r="D336" s="430"/>
    </row>
    <row r="337" spans="1:4" s="495" customFormat="1" x14ac:dyDescent="0.25">
      <c r="A337" s="334">
        <v>4</v>
      </c>
      <c r="B337" s="353" t="s">
        <v>53</v>
      </c>
      <c r="C337" s="338" t="s">
        <v>1812</v>
      </c>
      <c r="D337" s="498"/>
    </row>
    <row r="338" spans="1:4" s="495" customFormat="1" x14ac:dyDescent="0.25">
      <c r="A338" s="340"/>
      <c r="B338" s="364" t="s">
        <v>561</v>
      </c>
      <c r="C338" s="385"/>
      <c r="D338" s="498"/>
    </row>
    <row r="339" spans="1:4" s="495" customFormat="1" x14ac:dyDescent="0.25">
      <c r="A339" s="340">
        <v>1</v>
      </c>
      <c r="B339" s="350" t="s">
        <v>562</v>
      </c>
      <c r="C339" s="338" t="s">
        <v>1831</v>
      </c>
      <c r="D339" s="562"/>
    </row>
    <row r="340" spans="1:4" s="495" customFormat="1" x14ac:dyDescent="0.25">
      <c r="A340" s="334"/>
      <c r="B340" s="358" t="s">
        <v>77</v>
      </c>
      <c r="C340" s="385"/>
      <c r="D340" s="498"/>
    </row>
    <row r="341" spans="1:4" s="495" customFormat="1" x14ac:dyDescent="0.25">
      <c r="A341" s="340">
        <v>1</v>
      </c>
      <c r="B341" s="349" t="s">
        <v>78</v>
      </c>
      <c r="C341" s="338" t="s">
        <v>1813</v>
      </c>
      <c r="D341" s="498"/>
    </row>
    <row r="342" spans="1:4" s="495" customFormat="1" x14ac:dyDescent="0.25">
      <c r="A342" s="334">
        <v>2</v>
      </c>
      <c r="B342" s="349" t="s">
        <v>79</v>
      </c>
      <c r="C342" s="338" t="s">
        <v>1814</v>
      </c>
      <c r="D342" s="498"/>
    </row>
    <row r="343" spans="1:4" s="495" customFormat="1" x14ac:dyDescent="0.25">
      <c r="A343" s="334"/>
      <c r="B343" s="351" t="s">
        <v>55</v>
      </c>
      <c r="C343" s="338"/>
      <c r="D343" s="498"/>
    </row>
    <row r="344" spans="1:4" s="495" customFormat="1" x14ac:dyDescent="0.25">
      <c r="A344" s="334">
        <v>1</v>
      </c>
      <c r="B344" s="350" t="s">
        <v>56</v>
      </c>
      <c r="C344" s="338" t="s">
        <v>1815</v>
      </c>
      <c r="D344" s="498"/>
    </row>
    <row r="345" spans="1:4" s="587" customFormat="1" ht="26.25" x14ac:dyDescent="0.25">
      <c r="A345" s="472">
        <v>2</v>
      </c>
      <c r="B345" s="473" t="s">
        <v>64</v>
      </c>
      <c r="C345" s="471" t="s">
        <v>1337</v>
      </c>
      <c r="D345" s="596" t="s">
        <v>2071</v>
      </c>
    </row>
    <row r="346" spans="1:4" s="495" customFormat="1" x14ac:dyDescent="0.25">
      <c r="A346" s="398"/>
      <c r="B346" s="351" t="s">
        <v>60</v>
      </c>
      <c r="C346" s="338"/>
      <c r="D346" s="498"/>
    </row>
    <row r="347" spans="1:4" s="495" customFormat="1" x14ac:dyDescent="0.25">
      <c r="A347" s="398">
        <v>1</v>
      </c>
      <c r="B347" s="350" t="s">
        <v>62</v>
      </c>
      <c r="C347" s="338" t="s">
        <v>1828</v>
      </c>
      <c r="D347" s="430"/>
    </row>
    <row r="348" spans="1:4" s="495" customFormat="1" x14ac:dyDescent="0.25">
      <c r="A348" s="398"/>
      <c r="B348" s="351" t="s">
        <v>80</v>
      </c>
      <c r="C348" s="338"/>
      <c r="D348" s="498"/>
    </row>
    <row r="349" spans="1:4" s="495" customFormat="1" x14ac:dyDescent="0.25">
      <c r="A349" s="398">
        <v>1</v>
      </c>
      <c r="B349" s="350" t="s">
        <v>81</v>
      </c>
      <c r="C349" s="338" t="s">
        <v>1819</v>
      </c>
      <c r="D349" s="498"/>
    </row>
    <row r="350" spans="1:4" s="495" customFormat="1" x14ac:dyDescent="0.25">
      <c r="A350" s="398">
        <v>2</v>
      </c>
      <c r="B350" s="480" t="s">
        <v>64</v>
      </c>
      <c r="C350" s="338" t="s">
        <v>1820</v>
      </c>
      <c r="D350" s="498"/>
    </row>
    <row r="351" spans="1:4" s="495" customFormat="1" x14ac:dyDescent="0.25">
      <c r="A351" s="398"/>
      <c r="B351" s="351" t="s">
        <v>82</v>
      </c>
      <c r="C351" s="494"/>
      <c r="D351" s="498"/>
    </row>
    <row r="352" spans="1:4" s="495" customFormat="1" x14ac:dyDescent="0.25">
      <c r="A352" s="398">
        <v>1</v>
      </c>
      <c r="B352" s="350" t="s">
        <v>83</v>
      </c>
      <c r="C352" s="338" t="s">
        <v>1821</v>
      </c>
      <c r="D352" s="498"/>
    </row>
    <row r="353" spans="1:4" s="587" customFormat="1" ht="26.25" x14ac:dyDescent="0.25">
      <c r="A353" s="481">
        <v>3</v>
      </c>
      <c r="B353" s="595" t="s">
        <v>577</v>
      </c>
      <c r="C353" s="471" t="s">
        <v>1337</v>
      </c>
      <c r="D353" s="597" t="s">
        <v>2074</v>
      </c>
    </row>
    <row r="354" spans="1:4" s="495" customFormat="1" x14ac:dyDescent="0.25">
      <c r="A354" s="398"/>
      <c r="B354" s="351" t="s">
        <v>565</v>
      </c>
      <c r="C354" s="453"/>
      <c r="D354" s="498"/>
    </row>
    <row r="355" spans="1:4" s="495" customFormat="1" x14ac:dyDescent="0.25">
      <c r="A355" s="398"/>
      <c r="B355" s="350" t="s">
        <v>159</v>
      </c>
      <c r="C355" s="338" t="s">
        <v>1818</v>
      </c>
      <c r="D355" s="497"/>
    </row>
    <row r="356" spans="1:4" s="587" customFormat="1" ht="26.25" x14ac:dyDescent="0.25">
      <c r="A356" s="598"/>
      <c r="B356" s="473" t="s">
        <v>577</v>
      </c>
      <c r="C356" s="471" t="s">
        <v>1337</v>
      </c>
      <c r="D356" s="597" t="s">
        <v>2074</v>
      </c>
    </row>
    <row r="357" spans="1:4" s="495" customFormat="1" x14ac:dyDescent="0.25">
      <c r="A357" s="398"/>
      <c r="B357" s="351" t="s">
        <v>67</v>
      </c>
      <c r="C357" s="446"/>
      <c r="D357" s="498"/>
    </row>
    <row r="358" spans="1:4" s="495" customFormat="1" x14ac:dyDescent="0.25">
      <c r="A358" s="340">
        <v>1</v>
      </c>
      <c r="B358" s="350" t="s">
        <v>68</v>
      </c>
      <c r="C358" s="338" t="s">
        <v>1817</v>
      </c>
      <c r="D358" s="498"/>
    </row>
    <row r="359" spans="1:4" s="587" customFormat="1" ht="26.25" x14ac:dyDescent="0.25">
      <c r="A359" s="481">
        <v>2</v>
      </c>
      <c r="B359" s="473" t="s">
        <v>64</v>
      </c>
      <c r="C359" s="471" t="s">
        <v>1337</v>
      </c>
      <c r="D359" s="597" t="s">
        <v>2074</v>
      </c>
    </row>
    <row r="360" spans="1:4" s="495" customFormat="1" x14ac:dyDescent="0.25">
      <c r="A360" s="340"/>
      <c r="B360" s="351" t="s">
        <v>84</v>
      </c>
      <c r="C360" s="385"/>
      <c r="D360" s="498"/>
    </row>
    <row r="361" spans="1:4" s="495" customFormat="1" x14ac:dyDescent="0.25">
      <c r="A361" s="340">
        <v>1</v>
      </c>
      <c r="B361" s="350" t="s">
        <v>85</v>
      </c>
      <c r="C361" s="338" t="s">
        <v>1822</v>
      </c>
      <c r="D361" s="498"/>
    </row>
    <row r="362" spans="1:4" s="495" customFormat="1" x14ac:dyDescent="0.25">
      <c r="A362" s="340">
        <v>2</v>
      </c>
      <c r="B362" s="350" t="s">
        <v>86</v>
      </c>
      <c r="C362" s="338" t="s">
        <v>1823</v>
      </c>
      <c r="D362" s="498"/>
    </row>
    <row r="363" spans="1:4" s="495" customFormat="1" x14ac:dyDescent="0.25">
      <c r="A363" s="340"/>
      <c r="B363" s="351" t="s">
        <v>87</v>
      </c>
      <c r="C363" s="385"/>
      <c r="D363" s="498"/>
    </row>
    <row r="364" spans="1:4" s="495" customFormat="1" x14ac:dyDescent="0.25">
      <c r="A364" s="340">
        <v>1</v>
      </c>
      <c r="B364" s="350" t="s">
        <v>88</v>
      </c>
      <c r="C364" s="338" t="s">
        <v>1824</v>
      </c>
      <c r="D364" s="498"/>
    </row>
    <row r="365" spans="1:4" s="587" customFormat="1" ht="26.25" x14ac:dyDescent="0.25">
      <c r="A365" s="481"/>
      <c r="B365" s="473" t="s">
        <v>1580</v>
      </c>
      <c r="C365" s="599" t="s">
        <v>1337</v>
      </c>
      <c r="D365" s="596" t="s">
        <v>2072</v>
      </c>
    </row>
    <row r="366" spans="1:4" s="495" customFormat="1" x14ac:dyDescent="0.25">
      <c r="A366" s="340">
        <v>2</v>
      </c>
      <c r="B366" s="350" t="s">
        <v>64</v>
      </c>
      <c r="C366" s="338" t="s">
        <v>1825</v>
      </c>
      <c r="D366" s="498"/>
    </row>
    <row r="367" spans="1:4" s="495" customFormat="1" x14ac:dyDescent="0.25">
      <c r="A367" s="340"/>
      <c r="B367" s="351" t="s">
        <v>89</v>
      </c>
      <c r="C367" s="385"/>
      <c r="D367" s="498"/>
    </row>
    <row r="368" spans="1:4" s="495" customFormat="1" x14ac:dyDescent="0.25">
      <c r="A368" s="340">
        <v>1</v>
      </c>
      <c r="B368" s="350" t="s">
        <v>90</v>
      </c>
      <c r="C368" s="338" t="s">
        <v>1826</v>
      </c>
      <c r="D368" s="498"/>
    </row>
    <row r="369" spans="1:4" s="495" customFormat="1" x14ac:dyDescent="0.25">
      <c r="A369" s="340">
        <v>2</v>
      </c>
      <c r="B369" s="350" t="s">
        <v>64</v>
      </c>
      <c r="C369" s="338" t="s">
        <v>1827</v>
      </c>
      <c r="D369" s="498"/>
    </row>
    <row r="370" spans="1:4" s="495" customFormat="1" x14ac:dyDescent="0.25">
      <c r="A370" s="340"/>
      <c r="B370" s="351" t="s">
        <v>91</v>
      </c>
      <c r="C370" s="338"/>
      <c r="D370" s="498"/>
    </row>
    <row r="371" spans="1:4" s="495" customFormat="1" x14ac:dyDescent="0.25">
      <c r="A371" s="340">
        <v>1</v>
      </c>
      <c r="B371" s="350" t="s">
        <v>92</v>
      </c>
      <c r="C371" s="338" t="s">
        <v>1829</v>
      </c>
      <c r="D371" s="498"/>
    </row>
    <row r="372" spans="1:4" s="495" customFormat="1" x14ac:dyDescent="0.25">
      <c r="A372" s="340">
        <v>2</v>
      </c>
      <c r="B372" s="350" t="s">
        <v>64</v>
      </c>
      <c r="C372" s="338" t="s">
        <v>1830</v>
      </c>
      <c r="D372" s="498"/>
    </row>
    <row r="373" spans="1:4" s="495" customFormat="1" x14ac:dyDescent="0.25">
      <c r="A373" s="340"/>
      <c r="B373" s="351" t="s">
        <v>58</v>
      </c>
      <c r="C373" s="338"/>
      <c r="D373" s="498"/>
    </row>
    <row r="374" spans="1:4" s="495" customFormat="1" x14ac:dyDescent="0.25">
      <c r="A374" s="340">
        <v>1</v>
      </c>
      <c r="B374" s="350" t="s">
        <v>59</v>
      </c>
      <c r="C374" s="338" t="s">
        <v>1816</v>
      </c>
      <c r="D374" s="498"/>
    </row>
    <row r="375" spans="1:4" s="495" customFormat="1" x14ac:dyDescent="0.25">
      <c r="A375" s="340"/>
      <c r="B375" s="354" t="s">
        <v>148</v>
      </c>
      <c r="C375" s="338"/>
      <c r="D375" s="498"/>
    </row>
    <row r="376" spans="1:4" s="495" customFormat="1" x14ac:dyDescent="0.25">
      <c r="A376" s="340">
        <v>1</v>
      </c>
      <c r="B376" s="353" t="s">
        <v>149</v>
      </c>
      <c r="C376" s="338" t="s">
        <v>1832</v>
      </c>
      <c r="D376" s="498"/>
    </row>
    <row r="377" spans="1:4" s="495" customFormat="1" x14ac:dyDescent="0.25">
      <c r="A377" s="340">
        <v>2</v>
      </c>
      <c r="B377" s="353" t="s">
        <v>75</v>
      </c>
      <c r="C377" s="338" t="s">
        <v>1834</v>
      </c>
      <c r="D377" s="498"/>
    </row>
    <row r="378" spans="1:4" s="495" customFormat="1" x14ac:dyDescent="0.25">
      <c r="A378" s="340">
        <v>3</v>
      </c>
      <c r="B378" s="353" t="s">
        <v>76</v>
      </c>
      <c r="C378" s="338" t="s">
        <v>1835</v>
      </c>
      <c r="D378" s="498"/>
    </row>
    <row r="379" spans="1:4" s="495" customFormat="1" x14ac:dyDescent="0.25">
      <c r="A379" s="340">
        <v>4</v>
      </c>
      <c r="B379" s="350" t="s">
        <v>32</v>
      </c>
      <c r="C379" s="338" t="s">
        <v>1843</v>
      </c>
      <c r="D379" s="498"/>
    </row>
    <row r="380" spans="1:4" s="495" customFormat="1" x14ac:dyDescent="0.25">
      <c r="A380" s="340">
        <v>5</v>
      </c>
      <c r="B380" s="350" t="s">
        <v>90</v>
      </c>
      <c r="C380" s="338" t="s">
        <v>1838</v>
      </c>
      <c r="D380" s="430"/>
    </row>
    <row r="381" spans="1:4" s="495" customFormat="1" x14ac:dyDescent="0.25">
      <c r="A381" s="340">
        <v>6</v>
      </c>
      <c r="B381" s="350" t="s">
        <v>92</v>
      </c>
      <c r="C381" s="338" t="s">
        <v>1839</v>
      </c>
      <c r="D381" s="498"/>
    </row>
    <row r="382" spans="1:4" s="495" customFormat="1" x14ac:dyDescent="0.25">
      <c r="A382" s="340">
        <v>7</v>
      </c>
      <c r="B382" s="350" t="s">
        <v>81</v>
      </c>
      <c r="C382" s="338" t="s">
        <v>1836</v>
      </c>
      <c r="D382" s="498"/>
    </row>
    <row r="383" spans="1:4" s="495" customFormat="1" x14ac:dyDescent="0.25">
      <c r="A383" s="340">
        <v>8</v>
      </c>
      <c r="B383" s="350" t="s">
        <v>83</v>
      </c>
      <c r="C383" s="338" t="s">
        <v>1837</v>
      </c>
      <c r="D383" s="498"/>
    </row>
    <row r="384" spans="1:4" s="495" customFormat="1" x14ac:dyDescent="0.25">
      <c r="A384" s="340">
        <v>9</v>
      </c>
      <c r="B384" s="350" t="s">
        <v>85</v>
      </c>
      <c r="C384" s="338" t="s">
        <v>1833</v>
      </c>
      <c r="D384" s="498"/>
    </row>
    <row r="385" spans="1:4" s="495" customFormat="1" x14ac:dyDescent="0.25">
      <c r="A385" s="340">
        <v>10</v>
      </c>
      <c r="B385" s="353" t="s">
        <v>53</v>
      </c>
      <c r="C385" s="338" t="s">
        <v>1840</v>
      </c>
      <c r="D385" s="498"/>
    </row>
    <row r="386" spans="1:4" s="495" customFormat="1" x14ac:dyDescent="0.25">
      <c r="A386" s="340">
        <v>11</v>
      </c>
      <c r="B386" s="350" t="s">
        <v>64</v>
      </c>
      <c r="C386" s="338" t="s">
        <v>1841</v>
      </c>
      <c r="D386" s="498"/>
    </row>
    <row r="387" spans="1:4" s="587" customFormat="1" ht="26.25" x14ac:dyDescent="0.25">
      <c r="A387" s="481">
        <v>12</v>
      </c>
      <c r="B387" s="473" t="s">
        <v>663</v>
      </c>
      <c r="C387" s="471" t="s">
        <v>1337</v>
      </c>
      <c r="D387" s="596" t="s">
        <v>2075</v>
      </c>
    </row>
    <row r="388" spans="1:4" s="495" customFormat="1" x14ac:dyDescent="0.25">
      <c r="A388" s="340">
        <v>13</v>
      </c>
      <c r="B388" s="350" t="s">
        <v>86</v>
      </c>
      <c r="C388" s="338" t="s">
        <v>1842</v>
      </c>
      <c r="D388" s="498"/>
    </row>
    <row r="389" spans="1:4" s="495" customFormat="1" x14ac:dyDescent="0.25">
      <c r="A389" s="340"/>
      <c r="B389" s="371" t="s">
        <v>525</v>
      </c>
      <c r="C389" s="482"/>
      <c r="D389" s="498"/>
    </row>
    <row r="390" spans="1:4" s="495" customFormat="1" x14ac:dyDescent="0.25">
      <c r="A390" s="340">
        <v>1</v>
      </c>
      <c r="B390" s="359" t="s">
        <v>526</v>
      </c>
      <c r="C390" s="338" t="s">
        <v>1848</v>
      </c>
      <c r="D390" s="498"/>
    </row>
    <row r="391" spans="1:4" s="495" customFormat="1" x14ac:dyDescent="0.25">
      <c r="A391" s="340">
        <v>2</v>
      </c>
      <c r="B391" s="353" t="s">
        <v>527</v>
      </c>
      <c r="C391" s="338" t="s">
        <v>1849</v>
      </c>
      <c r="D391" s="498"/>
    </row>
    <row r="392" spans="1:4" s="587" customFormat="1" ht="26.25" x14ac:dyDescent="0.25">
      <c r="A392" s="481">
        <v>3</v>
      </c>
      <c r="B392" s="473" t="s">
        <v>64</v>
      </c>
      <c r="C392" s="471" t="s">
        <v>1337</v>
      </c>
      <c r="D392" s="597" t="s">
        <v>2074</v>
      </c>
    </row>
    <row r="393" spans="1:4" s="495" customFormat="1" x14ac:dyDescent="0.25">
      <c r="A393" s="340"/>
      <c r="B393" s="368" t="s">
        <v>155</v>
      </c>
      <c r="C393" s="385"/>
      <c r="D393" s="498"/>
    </row>
    <row r="394" spans="1:4" s="495" customFormat="1" x14ac:dyDescent="0.25">
      <c r="A394" s="340">
        <v>1</v>
      </c>
      <c r="B394" s="357" t="s">
        <v>32</v>
      </c>
      <c r="C394" s="338" t="s">
        <v>1850</v>
      </c>
      <c r="D394" s="498"/>
    </row>
    <row r="395" spans="1:4" s="495" customFormat="1" x14ac:dyDescent="0.25">
      <c r="A395" s="340">
        <v>2</v>
      </c>
      <c r="B395" s="350" t="s">
        <v>1853</v>
      </c>
      <c r="C395" s="338" t="s">
        <v>1851</v>
      </c>
      <c r="D395" s="498"/>
    </row>
    <row r="396" spans="1:4" s="587" customFormat="1" ht="26.25" x14ac:dyDescent="0.25">
      <c r="A396" s="481">
        <v>3</v>
      </c>
      <c r="B396" s="473" t="s">
        <v>94</v>
      </c>
      <c r="C396" s="471" t="s">
        <v>1337</v>
      </c>
      <c r="D396" s="596" t="s">
        <v>2076</v>
      </c>
    </row>
    <row r="397" spans="1:4" s="495" customFormat="1" x14ac:dyDescent="0.25">
      <c r="A397" s="340"/>
      <c r="B397" s="351" t="s">
        <v>93</v>
      </c>
      <c r="C397" s="385"/>
      <c r="D397" s="498"/>
    </row>
    <row r="398" spans="1:4" s="495" customFormat="1" x14ac:dyDescent="0.25">
      <c r="A398" s="340">
        <v>1</v>
      </c>
      <c r="B398" s="350" t="s">
        <v>94</v>
      </c>
      <c r="C398" s="338" t="s">
        <v>1844</v>
      </c>
      <c r="D398" s="498"/>
    </row>
    <row r="399" spans="1:4" s="495" customFormat="1" x14ac:dyDescent="0.25">
      <c r="A399" s="340"/>
      <c r="B399" s="351" t="s">
        <v>95</v>
      </c>
      <c r="C399" s="385"/>
      <c r="D399" s="568"/>
    </row>
    <row r="400" spans="1:4" s="495" customFormat="1" ht="17.25" customHeight="1" x14ac:dyDescent="0.25">
      <c r="A400" s="340">
        <v>1</v>
      </c>
      <c r="B400" s="350" t="s">
        <v>475</v>
      </c>
      <c r="C400" s="338" t="s">
        <v>1845</v>
      </c>
      <c r="D400" s="568"/>
    </row>
    <row r="401" spans="1:4" s="495" customFormat="1" ht="30" customHeight="1" x14ac:dyDescent="0.25">
      <c r="A401" s="340">
        <v>2</v>
      </c>
      <c r="B401" s="350" t="s">
        <v>476</v>
      </c>
      <c r="C401" s="338" t="s">
        <v>1846</v>
      </c>
      <c r="D401" s="497"/>
    </row>
    <row r="402" spans="1:4" s="495" customFormat="1" x14ac:dyDescent="0.25">
      <c r="A402" s="340">
        <v>3</v>
      </c>
      <c r="B402" s="350" t="s">
        <v>478</v>
      </c>
      <c r="C402" s="338" t="s">
        <v>1847</v>
      </c>
      <c r="D402" s="498"/>
    </row>
    <row r="403" spans="1:4" s="495" customFormat="1" x14ac:dyDescent="0.25">
      <c r="A403" s="340"/>
      <c r="B403" s="351" t="s">
        <v>97</v>
      </c>
      <c r="C403" s="453"/>
      <c r="D403" s="498"/>
    </row>
    <row r="404" spans="1:4" s="495" customFormat="1" x14ac:dyDescent="0.25">
      <c r="A404" s="340">
        <v>1</v>
      </c>
      <c r="B404" s="353" t="s">
        <v>253</v>
      </c>
      <c r="C404" s="338" t="s">
        <v>1852</v>
      </c>
      <c r="D404" s="498"/>
    </row>
    <row r="405" spans="1:4" s="495" customFormat="1" x14ac:dyDescent="0.25">
      <c r="A405" s="340">
        <v>2</v>
      </c>
      <c r="B405" s="353" t="s">
        <v>653</v>
      </c>
      <c r="C405" s="338" t="s">
        <v>1854</v>
      </c>
      <c r="D405" s="498"/>
    </row>
    <row r="406" spans="1:4" s="603" customFormat="1" ht="26.25" x14ac:dyDescent="0.25">
      <c r="A406" s="481">
        <v>3</v>
      </c>
      <c r="B406" s="602" t="s">
        <v>106</v>
      </c>
      <c r="C406" s="471" t="s">
        <v>1337</v>
      </c>
      <c r="D406" s="596" t="s">
        <v>2077</v>
      </c>
    </row>
    <row r="407" spans="1:4" s="495" customFormat="1" ht="20.25" x14ac:dyDescent="0.3">
      <c r="A407" s="340"/>
      <c r="B407" s="519" t="s">
        <v>1606</v>
      </c>
      <c r="C407" s="529"/>
      <c r="D407" s="498"/>
    </row>
    <row r="408" spans="1:4" s="495" customFormat="1" x14ac:dyDescent="0.25">
      <c r="A408" s="355"/>
      <c r="B408" s="364" t="s">
        <v>39</v>
      </c>
      <c r="C408" s="496"/>
      <c r="D408" s="498"/>
    </row>
    <row r="409" spans="1:4" s="495" customFormat="1" x14ac:dyDescent="0.25">
      <c r="A409" s="340" t="s">
        <v>61</v>
      </c>
      <c r="B409" s="355" t="s">
        <v>162</v>
      </c>
      <c r="C409" s="494" t="s">
        <v>2105</v>
      </c>
      <c r="D409" s="498"/>
    </row>
    <row r="410" spans="1:4" s="495" customFormat="1" x14ac:dyDescent="0.25">
      <c r="A410" s="340" t="s">
        <v>63</v>
      </c>
      <c r="B410" s="355" t="s">
        <v>53</v>
      </c>
      <c r="C410" s="494" t="s">
        <v>2106</v>
      </c>
      <c r="D410" s="498"/>
    </row>
    <row r="411" spans="1:4" s="495" customFormat="1" x14ac:dyDescent="0.25">
      <c r="A411" s="340">
        <v>5</v>
      </c>
      <c r="B411" s="355" t="s">
        <v>35</v>
      </c>
      <c r="C411" s="494" t="s">
        <v>2107</v>
      </c>
      <c r="D411" s="498"/>
    </row>
    <row r="412" spans="1:4" s="495" customFormat="1" x14ac:dyDescent="0.25">
      <c r="A412" s="340"/>
      <c r="B412" s="351" t="s">
        <v>77</v>
      </c>
      <c r="C412" s="494"/>
      <c r="D412" s="498"/>
    </row>
    <row r="413" spans="1:4" s="495" customFormat="1" x14ac:dyDescent="0.25">
      <c r="A413" s="340" t="s">
        <v>61</v>
      </c>
      <c r="B413" s="355" t="s">
        <v>32</v>
      </c>
      <c r="C413" s="494" t="s">
        <v>2108</v>
      </c>
      <c r="D413" s="498"/>
    </row>
    <row r="414" spans="1:4" s="495" customFormat="1" x14ac:dyDescent="0.25">
      <c r="A414" s="340" t="s">
        <v>63</v>
      </c>
      <c r="B414" s="355" t="s">
        <v>64</v>
      </c>
      <c r="C414" s="494" t="s">
        <v>2109</v>
      </c>
      <c r="D414" s="498"/>
    </row>
    <row r="415" spans="1:4" s="495" customFormat="1" x14ac:dyDescent="0.25">
      <c r="A415" s="340"/>
      <c r="B415" s="351" t="s">
        <v>166</v>
      </c>
      <c r="C415" s="496"/>
      <c r="D415" s="498"/>
    </row>
    <row r="416" spans="1:4" s="495" customFormat="1" x14ac:dyDescent="0.25">
      <c r="A416" s="340" t="s">
        <v>61</v>
      </c>
      <c r="B416" s="355" t="s">
        <v>167</v>
      </c>
      <c r="C416" s="494" t="s">
        <v>2110</v>
      </c>
      <c r="D416" s="498"/>
    </row>
    <row r="417" spans="1:4" s="495" customFormat="1" x14ac:dyDescent="0.25">
      <c r="A417" s="340" t="s">
        <v>63</v>
      </c>
      <c r="B417" s="355" t="s">
        <v>168</v>
      </c>
      <c r="C417" s="494" t="s">
        <v>2111</v>
      </c>
      <c r="D417" s="498"/>
    </row>
    <row r="418" spans="1:4" s="495" customFormat="1" x14ac:dyDescent="0.25">
      <c r="A418" s="340" t="s">
        <v>163</v>
      </c>
      <c r="B418" s="355" t="s">
        <v>68</v>
      </c>
      <c r="C418" s="494" t="s">
        <v>2112</v>
      </c>
      <c r="D418" s="498"/>
    </row>
    <row r="419" spans="1:4" s="495" customFormat="1" x14ac:dyDescent="0.25">
      <c r="A419" s="340" t="s">
        <v>165</v>
      </c>
      <c r="B419" s="355" t="s">
        <v>64</v>
      </c>
      <c r="C419" s="494" t="s">
        <v>2113</v>
      </c>
      <c r="D419" s="498"/>
    </row>
    <row r="420" spans="1:4" s="495" customFormat="1" x14ac:dyDescent="0.25">
      <c r="A420" s="340"/>
      <c r="B420" s="364" t="s">
        <v>169</v>
      </c>
      <c r="C420" s="385"/>
      <c r="D420" s="498"/>
    </row>
    <row r="421" spans="1:4" s="495" customFormat="1" x14ac:dyDescent="0.25">
      <c r="A421" s="340" t="s">
        <v>61</v>
      </c>
      <c r="B421" s="355" t="s">
        <v>170</v>
      </c>
      <c r="C421" s="494" t="s">
        <v>2114</v>
      </c>
      <c r="D421" s="498"/>
    </row>
    <row r="422" spans="1:4" s="495" customFormat="1" x14ac:dyDescent="0.25">
      <c r="A422" s="340" t="s">
        <v>63</v>
      </c>
      <c r="B422" s="355" t="s">
        <v>171</v>
      </c>
      <c r="C422" s="494" t="s">
        <v>2115</v>
      </c>
      <c r="D422" s="498"/>
    </row>
    <row r="423" spans="1:4" s="495" customFormat="1" x14ac:dyDescent="0.25">
      <c r="A423" s="340" t="s">
        <v>163</v>
      </c>
      <c r="B423" s="355" t="s">
        <v>56</v>
      </c>
      <c r="C423" s="494" t="s">
        <v>2116</v>
      </c>
      <c r="D423" s="498"/>
    </row>
    <row r="424" spans="1:4" s="495" customFormat="1" x14ac:dyDescent="0.25">
      <c r="A424" s="340" t="s">
        <v>165</v>
      </c>
      <c r="B424" s="355" t="s">
        <v>75</v>
      </c>
      <c r="C424" s="494" t="s">
        <v>2117</v>
      </c>
      <c r="D424" s="498"/>
    </row>
    <row r="425" spans="1:4" s="495" customFormat="1" x14ac:dyDescent="0.25">
      <c r="A425" s="340" t="s">
        <v>172</v>
      </c>
      <c r="B425" s="355" t="s">
        <v>173</v>
      </c>
      <c r="C425" s="494" t="s">
        <v>2118</v>
      </c>
      <c r="D425" s="498"/>
    </row>
    <row r="426" spans="1:4" s="495" customFormat="1" x14ac:dyDescent="0.25">
      <c r="A426" s="340">
        <v>6</v>
      </c>
      <c r="B426" s="355" t="s">
        <v>64</v>
      </c>
      <c r="C426" s="494" t="s">
        <v>2119</v>
      </c>
      <c r="D426" s="498"/>
    </row>
    <row r="427" spans="1:4" s="495" customFormat="1" x14ac:dyDescent="0.25">
      <c r="A427" s="340"/>
      <c r="B427" s="351" t="s">
        <v>84</v>
      </c>
      <c r="C427" s="387"/>
      <c r="D427" s="498"/>
    </row>
    <row r="428" spans="1:4" s="495" customFormat="1" x14ac:dyDescent="0.25">
      <c r="A428" s="340" t="s">
        <v>61</v>
      </c>
      <c r="B428" s="355" t="s">
        <v>174</v>
      </c>
      <c r="C428" s="494" t="s">
        <v>2120</v>
      </c>
      <c r="D428" s="498"/>
    </row>
    <row r="429" spans="1:4" s="495" customFormat="1" x14ac:dyDescent="0.25">
      <c r="A429" s="340" t="s">
        <v>63</v>
      </c>
      <c r="B429" s="355" t="s">
        <v>86</v>
      </c>
      <c r="C429" s="494" t="s">
        <v>2121</v>
      </c>
      <c r="D429" s="498"/>
    </row>
    <row r="430" spans="1:4" s="495" customFormat="1" x14ac:dyDescent="0.25">
      <c r="A430" s="340"/>
      <c r="B430" s="351" t="s">
        <v>93</v>
      </c>
      <c r="C430" s="387"/>
      <c r="D430" s="498"/>
    </row>
    <row r="431" spans="1:4" s="495" customFormat="1" x14ac:dyDescent="0.25">
      <c r="A431" s="340" t="s">
        <v>61</v>
      </c>
      <c r="B431" s="355" t="s">
        <v>94</v>
      </c>
      <c r="C431" s="494" t="s">
        <v>2122</v>
      </c>
      <c r="D431" s="498"/>
    </row>
    <row r="432" spans="1:4" s="495" customFormat="1" x14ac:dyDescent="0.25">
      <c r="A432" s="340"/>
      <c r="B432" s="351" t="s">
        <v>95</v>
      </c>
      <c r="C432" s="385"/>
      <c r="D432" s="498"/>
    </row>
    <row r="433" spans="1:4" s="495" customFormat="1" x14ac:dyDescent="0.25">
      <c r="A433" s="340" t="s">
        <v>61</v>
      </c>
      <c r="B433" s="355" t="s">
        <v>96</v>
      </c>
      <c r="C433" s="494" t="s">
        <v>2123</v>
      </c>
      <c r="D433" s="498"/>
    </row>
    <row r="434" spans="1:4" s="495" customFormat="1" x14ac:dyDescent="0.25">
      <c r="A434" s="355"/>
      <c r="B434" s="363" t="s">
        <v>175</v>
      </c>
      <c r="C434" s="385"/>
      <c r="D434" s="498"/>
    </row>
    <row r="435" spans="1:4" s="495" customFormat="1" x14ac:dyDescent="0.25">
      <c r="A435" s="340">
        <v>1</v>
      </c>
      <c r="B435" s="357" t="s">
        <v>104</v>
      </c>
      <c r="C435" s="385" t="s">
        <v>1183</v>
      </c>
      <c r="D435" s="498"/>
    </row>
    <row r="436" spans="1:4" s="495" customFormat="1" x14ac:dyDescent="0.25">
      <c r="A436" s="340">
        <v>1</v>
      </c>
      <c r="B436" s="353" t="s">
        <v>253</v>
      </c>
      <c r="C436" s="385" t="s">
        <v>1184</v>
      </c>
      <c r="D436" s="498"/>
    </row>
    <row r="437" spans="1:4" s="495" customFormat="1" x14ac:dyDescent="0.25">
      <c r="A437" s="340">
        <v>2</v>
      </c>
      <c r="B437" s="353" t="s">
        <v>653</v>
      </c>
      <c r="C437" s="385" t="s">
        <v>1185</v>
      </c>
      <c r="D437" s="498"/>
    </row>
    <row r="438" spans="1:4" s="495" customFormat="1" ht="15.75" x14ac:dyDescent="0.25">
      <c r="A438" s="340"/>
      <c r="B438" s="383" t="s">
        <v>180</v>
      </c>
      <c r="C438" s="449"/>
      <c r="D438" s="498"/>
    </row>
    <row r="439" spans="1:4" s="495" customFormat="1" x14ac:dyDescent="0.25">
      <c r="A439" s="340">
        <v>1</v>
      </c>
      <c r="B439" s="353" t="s">
        <v>181</v>
      </c>
      <c r="C439" s="338" t="s">
        <v>1129</v>
      </c>
      <c r="D439" s="498"/>
    </row>
    <row r="440" spans="1:4" s="495" customFormat="1" x14ac:dyDescent="0.25">
      <c r="A440" s="340">
        <v>2</v>
      </c>
      <c r="B440" s="353" t="s">
        <v>83</v>
      </c>
      <c r="C440" s="338" t="s">
        <v>1130</v>
      </c>
      <c r="D440" s="498"/>
    </row>
    <row r="441" spans="1:4" s="495" customFormat="1" x14ac:dyDescent="0.25">
      <c r="A441" s="340">
        <v>3</v>
      </c>
      <c r="B441" s="353" t="s">
        <v>32</v>
      </c>
      <c r="C441" s="338" t="s">
        <v>1131</v>
      </c>
      <c r="D441" s="498"/>
    </row>
    <row r="442" spans="1:4" s="495" customFormat="1" x14ac:dyDescent="0.25">
      <c r="A442" s="340">
        <v>4</v>
      </c>
      <c r="B442" s="353" t="s">
        <v>145</v>
      </c>
      <c r="C442" s="338" t="s">
        <v>1132</v>
      </c>
      <c r="D442" s="498"/>
    </row>
    <row r="443" spans="1:4" s="495" customFormat="1" x14ac:dyDescent="0.25">
      <c r="A443" s="340">
        <v>5</v>
      </c>
      <c r="B443" s="353" t="s">
        <v>182</v>
      </c>
      <c r="C443" s="338" t="s">
        <v>1133</v>
      </c>
      <c r="D443" s="498"/>
    </row>
    <row r="444" spans="1:4" s="495" customFormat="1" x14ac:dyDescent="0.25">
      <c r="A444" s="340">
        <v>6</v>
      </c>
      <c r="B444" s="353" t="s">
        <v>64</v>
      </c>
      <c r="C444" s="338" t="s">
        <v>1134</v>
      </c>
      <c r="D444" s="498"/>
    </row>
    <row r="445" spans="1:4" s="495" customFormat="1" ht="15.75" x14ac:dyDescent="0.25">
      <c r="A445" s="379" t="s">
        <v>579</v>
      </c>
      <c r="B445" s="380"/>
      <c r="C445" s="450"/>
      <c r="D445" s="498"/>
    </row>
    <row r="446" spans="1:4" s="495" customFormat="1" x14ac:dyDescent="0.25">
      <c r="A446" s="334"/>
      <c r="B446" s="547" t="s">
        <v>185</v>
      </c>
      <c r="C446" s="338"/>
      <c r="D446" s="498"/>
    </row>
    <row r="447" spans="1:4" s="495" customFormat="1" ht="15.75" x14ac:dyDescent="0.25">
      <c r="A447" s="382">
        <v>1</v>
      </c>
      <c r="B447" s="376" t="s">
        <v>186</v>
      </c>
      <c r="C447" s="338" t="s">
        <v>1135</v>
      </c>
      <c r="D447" s="498"/>
    </row>
    <row r="448" spans="1:4" s="495" customFormat="1" ht="15.75" x14ac:dyDescent="0.25">
      <c r="A448" s="382">
        <v>2</v>
      </c>
      <c r="B448" s="376" t="s">
        <v>656</v>
      </c>
      <c r="C448" s="338" t="s">
        <v>1136</v>
      </c>
      <c r="D448" s="498"/>
    </row>
    <row r="449" spans="1:4" s="495" customFormat="1" x14ac:dyDescent="0.25">
      <c r="A449" s="375">
        <v>3</v>
      </c>
      <c r="B449" s="376" t="s">
        <v>188</v>
      </c>
      <c r="C449" s="338" t="s">
        <v>1137</v>
      </c>
      <c r="D449" s="498"/>
    </row>
    <row r="450" spans="1:4" s="495" customFormat="1" x14ac:dyDescent="0.25">
      <c r="A450" s="375"/>
      <c r="B450" s="376" t="s">
        <v>253</v>
      </c>
      <c r="C450" s="338" t="s">
        <v>1513</v>
      </c>
      <c r="D450" s="498"/>
    </row>
    <row r="451" spans="1:4" s="587" customFormat="1" ht="38.25" x14ac:dyDescent="0.25">
      <c r="A451" s="604">
        <v>5</v>
      </c>
      <c r="B451" s="605" t="s">
        <v>189</v>
      </c>
      <c r="C451" s="606" t="s">
        <v>1337</v>
      </c>
      <c r="D451" s="607" t="s">
        <v>1400</v>
      </c>
    </row>
    <row r="452" spans="1:4" s="495" customFormat="1" x14ac:dyDescent="0.25">
      <c r="A452" s="375">
        <v>6</v>
      </c>
      <c r="B452" s="376" t="s">
        <v>83</v>
      </c>
      <c r="C452" s="494" t="s">
        <v>1970</v>
      </c>
      <c r="D452" s="563"/>
    </row>
    <row r="453" spans="1:4" s="495" customFormat="1" ht="15" customHeight="1" x14ac:dyDescent="0.25">
      <c r="B453" s="626" t="s">
        <v>191</v>
      </c>
      <c r="C453" s="627"/>
      <c r="D453" s="498"/>
    </row>
    <row r="454" spans="1:4" s="495" customFormat="1" x14ac:dyDescent="0.25">
      <c r="A454" s="375">
        <v>1</v>
      </c>
      <c r="B454" s="376" t="s">
        <v>192</v>
      </c>
      <c r="C454" s="338" t="s">
        <v>1139</v>
      </c>
      <c r="D454" s="498"/>
    </row>
    <row r="455" spans="1:4" s="495" customFormat="1" x14ac:dyDescent="0.25">
      <c r="A455" s="375">
        <v>2</v>
      </c>
      <c r="B455" s="376" t="s">
        <v>193</v>
      </c>
      <c r="C455" s="338" t="s">
        <v>1140</v>
      </c>
      <c r="D455" s="498"/>
    </row>
    <row r="456" spans="1:4" s="495" customFormat="1" x14ac:dyDescent="0.25">
      <c r="A456" s="375">
        <v>3</v>
      </c>
      <c r="B456" s="376" t="s">
        <v>188</v>
      </c>
      <c r="C456" s="338" t="s">
        <v>1141</v>
      </c>
      <c r="D456" s="498"/>
    </row>
    <row r="457" spans="1:4" s="495" customFormat="1" ht="38.25" x14ac:dyDescent="0.25">
      <c r="A457" s="375">
        <v>4</v>
      </c>
      <c r="B457" s="376" t="s">
        <v>194</v>
      </c>
      <c r="C457" s="338" t="s">
        <v>1142</v>
      </c>
      <c r="D457" s="498"/>
    </row>
    <row r="458" spans="1:4" s="495" customFormat="1" x14ac:dyDescent="0.25">
      <c r="A458" s="375"/>
      <c r="B458" s="377" t="s">
        <v>657</v>
      </c>
      <c r="C458" s="552"/>
      <c r="D458" s="498"/>
    </row>
    <row r="459" spans="1:4" s="495" customFormat="1" x14ac:dyDescent="0.25">
      <c r="A459" s="369">
        <v>5</v>
      </c>
      <c r="B459" s="378" t="s">
        <v>196</v>
      </c>
      <c r="C459" s="338" t="s">
        <v>1143</v>
      </c>
      <c r="D459" s="498"/>
    </row>
    <row r="460" spans="1:4" s="495" customFormat="1" x14ac:dyDescent="0.25">
      <c r="A460" s="375">
        <v>6</v>
      </c>
      <c r="B460" s="376" t="s">
        <v>197</v>
      </c>
      <c r="C460" s="338" t="s">
        <v>1144</v>
      </c>
      <c r="D460" s="498"/>
    </row>
    <row r="461" spans="1:4" s="495" customFormat="1" x14ac:dyDescent="0.25">
      <c r="A461" s="375">
        <v>7</v>
      </c>
      <c r="B461" s="376" t="s">
        <v>198</v>
      </c>
      <c r="C461" s="338" t="s">
        <v>1145</v>
      </c>
      <c r="D461" s="498"/>
    </row>
    <row r="462" spans="1:4" s="495" customFormat="1" x14ac:dyDescent="0.25">
      <c r="A462" s="375">
        <v>8</v>
      </c>
      <c r="B462" s="376" t="s">
        <v>64</v>
      </c>
      <c r="C462" s="338" t="s">
        <v>1146</v>
      </c>
      <c r="D462" s="498"/>
    </row>
    <row r="463" spans="1:4" s="495" customFormat="1" x14ac:dyDescent="0.25">
      <c r="A463" s="375">
        <v>9</v>
      </c>
      <c r="B463" s="376" t="s">
        <v>45</v>
      </c>
      <c r="C463" s="338" t="s">
        <v>1147</v>
      </c>
      <c r="D463" s="498"/>
    </row>
    <row r="464" spans="1:4" s="495" customFormat="1" x14ac:dyDescent="0.25">
      <c r="A464" s="375">
        <v>10</v>
      </c>
      <c r="B464" s="376" t="s">
        <v>199</v>
      </c>
      <c r="C464" s="338" t="s">
        <v>2000</v>
      </c>
      <c r="D464" s="498"/>
    </row>
    <row r="465" spans="1:4" s="495" customFormat="1" ht="15.75" x14ac:dyDescent="0.25">
      <c r="A465" s="340"/>
      <c r="B465" s="366" t="s">
        <v>581</v>
      </c>
      <c r="C465" s="338"/>
      <c r="D465" s="498"/>
    </row>
    <row r="466" spans="1:4" s="495" customFormat="1" x14ac:dyDescent="0.25">
      <c r="A466" s="340"/>
      <c r="B466" s="367" t="s">
        <v>15</v>
      </c>
      <c r="C466" s="451"/>
      <c r="D466" s="498"/>
    </row>
    <row r="467" spans="1:4" s="495" customFormat="1" ht="14.25" customHeight="1" x14ac:dyDescent="0.25">
      <c r="A467" s="340">
        <v>1</v>
      </c>
      <c r="B467" s="349" t="s">
        <v>206</v>
      </c>
      <c r="C467" s="452" t="s">
        <v>1514</v>
      </c>
      <c r="D467" s="562"/>
    </row>
    <row r="468" spans="1:4" s="495" customFormat="1" x14ac:dyDescent="0.25">
      <c r="A468" s="340">
        <v>2</v>
      </c>
      <c r="B468" s="349" t="s">
        <v>207</v>
      </c>
      <c r="C468" s="338" t="s">
        <v>2143</v>
      </c>
      <c r="D468" s="498"/>
    </row>
    <row r="469" spans="1:4" s="495" customFormat="1" x14ac:dyDescent="0.25">
      <c r="A469" s="340">
        <v>3</v>
      </c>
      <c r="B469" s="335" t="s">
        <v>56</v>
      </c>
      <c r="C469" s="338" t="s">
        <v>2142</v>
      </c>
      <c r="D469" s="498"/>
    </row>
    <row r="470" spans="1:4" s="495" customFormat="1" x14ac:dyDescent="0.25">
      <c r="A470" s="340">
        <v>4</v>
      </c>
      <c r="B470" s="335" t="s">
        <v>66</v>
      </c>
      <c r="C470" s="452" t="s">
        <v>1515</v>
      </c>
      <c r="D470" s="563"/>
    </row>
    <row r="471" spans="1:4" s="495" customFormat="1" x14ac:dyDescent="0.25">
      <c r="A471" s="340">
        <v>5</v>
      </c>
      <c r="B471" s="335" t="s">
        <v>43</v>
      </c>
      <c r="C471" s="338" t="s">
        <v>1607</v>
      </c>
      <c r="D471" s="498"/>
    </row>
    <row r="472" spans="1:4" s="495" customFormat="1" x14ac:dyDescent="0.25">
      <c r="A472" s="340">
        <v>6</v>
      </c>
      <c r="B472" s="350" t="s">
        <v>208</v>
      </c>
      <c r="C472" s="338" t="s">
        <v>2144</v>
      </c>
      <c r="D472" s="498"/>
    </row>
    <row r="473" spans="1:4" s="495" customFormat="1" x14ac:dyDescent="0.25">
      <c r="A473" s="340"/>
      <c r="B473" s="351" t="s">
        <v>46</v>
      </c>
      <c r="C473" s="453"/>
      <c r="D473" s="498"/>
    </row>
    <row r="474" spans="1:4" s="495" customFormat="1" x14ac:dyDescent="0.25">
      <c r="A474" s="352">
        <v>1</v>
      </c>
      <c r="B474" s="335" t="s">
        <v>24</v>
      </c>
      <c r="C474" s="338" t="s">
        <v>2145</v>
      </c>
      <c r="D474" s="498"/>
    </row>
    <row r="475" spans="1:4" s="495" customFormat="1" x14ac:dyDescent="0.25">
      <c r="A475" s="340"/>
      <c r="B475" s="351" t="s">
        <v>136</v>
      </c>
      <c r="C475" s="454"/>
      <c r="D475" s="498"/>
    </row>
    <row r="476" spans="1:4" s="495" customFormat="1" x14ac:dyDescent="0.25">
      <c r="A476" s="334">
        <v>1</v>
      </c>
      <c r="B476" s="350" t="s">
        <v>209</v>
      </c>
      <c r="C476" s="338" t="s">
        <v>1608</v>
      </c>
      <c r="D476" s="498"/>
    </row>
    <row r="477" spans="1:4" s="587" customFormat="1" ht="26.25" x14ac:dyDescent="0.25">
      <c r="A477" s="472">
        <v>2</v>
      </c>
      <c r="B477" s="473" t="s">
        <v>2015</v>
      </c>
      <c r="C477" s="471" t="s">
        <v>1337</v>
      </c>
      <c r="D477" s="471" t="s">
        <v>2079</v>
      </c>
    </row>
    <row r="478" spans="1:4" s="587" customFormat="1" ht="26.25" x14ac:dyDescent="0.25">
      <c r="A478" s="472">
        <v>3</v>
      </c>
      <c r="B478" s="473" t="s">
        <v>551</v>
      </c>
      <c r="C478" s="471" t="s">
        <v>1337</v>
      </c>
      <c r="D478" s="471" t="s">
        <v>2078</v>
      </c>
    </row>
    <row r="479" spans="1:4" s="495" customFormat="1" x14ac:dyDescent="0.25">
      <c r="A479" s="334">
        <v>4</v>
      </c>
      <c r="B479" s="350" t="s">
        <v>32</v>
      </c>
      <c r="C479" s="338" t="s">
        <v>1609</v>
      </c>
      <c r="D479" s="498"/>
    </row>
    <row r="480" spans="1:4" s="495" customFormat="1" x14ac:dyDescent="0.25">
      <c r="A480" s="334">
        <v>5</v>
      </c>
      <c r="B480" s="353" t="s">
        <v>147</v>
      </c>
      <c r="C480" s="338" t="s">
        <v>1610</v>
      </c>
      <c r="D480" s="498"/>
    </row>
    <row r="481" spans="1:4" s="495" customFormat="1" x14ac:dyDescent="0.25">
      <c r="A481" s="334">
        <v>6</v>
      </c>
      <c r="B481" s="350" t="s">
        <v>53</v>
      </c>
      <c r="C481" s="338" t="s">
        <v>1611</v>
      </c>
      <c r="D481" s="498"/>
    </row>
    <row r="482" spans="1:4" s="495" customFormat="1" x14ac:dyDescent="0.25">
      <c r="A482" s="334">
        <v>7</v>
      </c>
      <c r="B482" s="350" t="s">
        <v>210</v>
      </c>
      <c r="C482" s="338" t="s">
        <v>1612</v>
      </c>
      <c r="D482" s="498"/>
    </row>
    <row r="483" spans="1:4" s="495" customFormat="1" x14ac:dyDescent="0.25">
      <c r="A483" s="334">
        <v>8</v>
      </c>
      <c r="B483" s="350" t="s">
        <v>94</v>
      </c>
      <c r="C483" s="338" t="s">
        <v>1613</v>
      </c>
      <c r="D483" s="498"/>
    </row>
    <row r="484" spans="1:4" s="495" customFormat="1" x14ac:dyDescent="0.25">
      <c r="A484" s="334">
        <v>9</v>
      </c>
      <c r="B484" s="350" t="s">
        <v>45</v>
      </c>
      <c r="C484" s="338" t="s">
        <v>1614</v>
      </c>
      <c r="D484" s="498"/>
    </row>
    <row r="485" spans="1:4" s="495" customFormat="1" x14ac:dyDescent="0.25">
      <c r="A485" s="334">
        <v>10</v>
      </c>
      <c r="B485" s="350" t="s">
        <v>253</v>
      </c>
      <c r="C485" s="452" t="s">
        <v>1516</v>
      </c>
      <c r="D485" s="567"/>
    </row>
    <row r="486" spans="1:4" s="495" customFormat="1" x14ac:dyDescent="0.25">
      <c r="A486" s="334">
        <v>11</v>
      </c>
      <c r="B486" s="357" t="s">
        <v>487</v>
      </c>
      <c r="C486" s="452" t="s">
        <v>1517</v>
      </c>
      <c r="D486" s="563"/>
    </row>
    <row r="487" spans="1:4" s="495" customFormat="1" x14ac:dyDescent="0.25">
      <c r="A487" s="334">
        <v>12</v>
      </c>
      <c r="B487" s="350" t="s">
        <v>653</v>
      </c>
      <c r="C487" s="452" t="s">
        <v>1518</v>
      </c>
      <c r="D487" s="567"/>
    </row>
    <row r="488" spans="1:4" s="587" customFormat="1" ht="26.25" x14ac:dyDescent="0.25">
      <c r="A488" s="472"/>
      <c r="B488" s="473" t="s">
        <v>56</v>
      </c>
      <c r="C488" s="621" t="s">
        <v>1337</v>
      </c>
      <c r="D488" s="471" t="s">
        <v>2399</v>
      </c>
    </row>
    <row r="489" spans="1:4" s="495" customFormat="1" x14ac:dyDescent="0.25">
      <c r="A489" s="340"/>
      <c r="B489" s="351" t="s">
        <v>584</v>
      </c>
      <c r="C489" s="453"/>
      <c r="D489" s="498"/>
    </row>
    <row r="490" spans="1:4" s="495" customFormat="1" x14ac:dyDescent="0.25">
      <c r="A490" s="334">
        <v>1</v>
      </c>
      <c r="B490" s="350" t="s">
        <v>209</v>
      </c>
      <c r="C490" s="338" t="s">
        <v>1615</v>
      </c>
      <c r="D490" s="498"/>
    </row>
    <row r="491" spans="1:4" s="495" customFormat="1" x14ac:dyDescent="0.25">
      <c r="A491" s="334">
        <v>2</v>
      </c>
      <c r="B491" s="350" t="s">
        <v>32</v>
      </c>
      <c r="C491" s="338" t="s">
        <v>1616</v>
      </c>
      <c r="D491" s="498"/>
    </row>
    <row r="492" spans="1:4" s="495" customFormat="1" x14ac:dyDescent="0.25">
      <c r="A492" s="340">
        <v>3</v>
      </c>
      <c r="B492" s="353" t="s">
        <v>70</v>
      </c>
      <c r="C492" s="338" t="s">
        <v>1617</v>
      </c>
      <c r="D492" s="498"/>
    </row>
    <row r="493" spans="1:4" s="495" customFormat="1" x14ac:dyDescent="0.25">
      <c r="A493" s="340">
        <v>4</v>
      </c>
      <c r="B493" s="350" t="s">
        <v>53</v>
      </c>
      <c r="C493" s="338" t="s">
        <v>1618</v>
      </c>
      <c r="D493" s="498"/>
    </row>
    <row r="494" spans="1:4" s="495" customFormat="1" x14ac:dyDescent="0.25">
      <c r="A494" s="334">
        <v>5</v>
      </c>
      <c r="B494" s="350" t="s">
        <v>210</v>
      </c>
      <c r="C494" s="338" t="s">
        <v>1619</v>
      </c>
      <c r="D494" s="498"/>
    </row>
    <row r="495" spans="1:4" s="495" customFormat="1" x14ac:dyDescent="0.25">
      <c r="A495" s="334">
        <v>7</v>
      </c>
      <c r="B495" s="350" t="s">
        <v>45</v>
      </c>
      <c r="C495" s="338" t="s">
        <v>1621</v>
      </c>
      <c r="D495" s="498"/>
    </row>
    <row r="496" spans="1:4" s="495" customFormat="1" x14ac:dyDescent="0.25">
      <c r="A496" s="334">
        <v>8</v>
      </c>
      <c r="B496" s="350" t="s">
        <v>253</v>
      </c>
      <c r="C496" s="338" t="s">
        <v>1519</v>
      </c>
      <c r="D496" s="567"/>
    </row>
    <row r="497" spans="1:4" s="495" customFormat="1" x14ac:dyDescent="0.25">
      <c r="A497" s="334">
        <v>9</v>
      </c>
      <c r="B497" s="350" t="s">
        <v>653</v>
      </c>
      <c r="C497" s="338" t="s">
        <v>1620</v>
      </c>
      <c r="D497" s="567"/>
    </row>
    <row r="498" spans="1:4" s="495" customFormat="1" x14ac:dyDescent="0.25">
      <c r="A498" s="340"/>
      <c r="B498" s="351" t="s">
        <v>585</v>
      </c>
      <c r="C498" s="453"/>
      <c r="D498" s="498"/>
    </row>
    <row r="499" spans="1:4" s="495" customFormat="1" x14ac:dyDescent="0.25">
      <c r="A499" s="340">
        <v>1</v>
      </c>
      <c r="B499" s="350" t="s">
        <v>212</v>
      </c>
      <c r="C499" s="338" t="s">
        <v>1622</v>
      </c>
      <c r="D499" s="498"/>
    </row>
    <row r="500" spans="1:4" s="495" customFormat="1" x14ac:dyDescent="0.25">
      <c r="A500" s="334">
        <v>2</v>
      </c>
      <c r="B500" s="350" t="s">
        <v>83</v>
      </c>
      <c r="C500" s="338" t="s">
        <v>1623</v>
      </c>
      <c r="D500" s="498"/>
    </row>
    <row r="501" spans="1:4" s="495" customFormat="1" x14ac:dyDescent="0.25">
      <c r="A501" s="340">
        <v>3</v>
      </c>
      <c r="B501" s="350" t="s">
        <v>66</v>
      </c>
      <c r="C501" s="338" t="s">
        <v>1624</v>
      </c>
      <c r="D501" s="498"/>
    </row>
    <row r="502" spans="1:4" s="495" customFormat="1" x14ac:dyDescent="0.25">
      <c r="A502" s="340">
        <v>4</v>
      </c>
      <c r="B502" s="350" t="s">
        <v>51</v>
      </c>
      <c r="C502" s="338" t="s">
        <v>1625</v>
      </c>
      <c r="D502" s="498"/>
    </row>
    <row r="503" spans="1:4" s="495" customFormat="1" x14ac:dyDescent="0.25">
      <c r="A503" s="340">
        <v>5</v>
      </c>
      <c r="B503" s="350" t="s">
        <v>53</v>
      </c>
      <c r="C503" s="338" t="s">
        <v>1626</v>
      </c>
      <c r="D503" s="498"/>
    </row>
    <row r="504" spans="1:4" s="495" customFormat="1" x14ac:dyDescent="0.25">
      <c r="A504" s="340">
        <v>6</v>
      </c>
      <c r="B504" s="350" t="s">
        <v>210</v>
      </c>
      <c r="C504" s="338" t="s">
        <v>1627</v>
      </c>
      <c r="D504" s="498"/>
    </row>
    <row r="505" spans="1:4" s="495" customFormat="1" x14ac:dyDescent="0.25">
      <c r="A505" s="340">
        <v>7</v>
      </c>
      <c r="B505" s="350" t="s">
        <v>213</v>
      </c>
      <c r="C505" s="338" t="s">
        <v>1628</v>
      </c>
      <c r="D505" s="498"/>
    </row>
    <row r="506" spans="1:4" s="495" customFormat="1" x14ac:dyDescent="0.25">
      <c r="A506" s="340">
        <v>8</v>
      </c>
      <c r="B506" s="350" t="s">
        <v>94</v>
      </c>
      <c r="C506" s="338" t="s">
        <v>1629</v>
      </c>
      <c r="D506" s="498"/>
    </row>
    <row r="507" spans="1:4" s="495" customFormat="1" x14ac:dyDescent="0.25">
      <c r="A507" s="340">
        <v>10</v>
      </c>
      <c r="B507" s="350" t="s">
        <v>45</v>
      </c>
      <c r="C507" s="338" t="s">
        <v>1630</v>
      </c>
      <c r="D507" s="498"/>
    </row>
    <row r="508" spans="1:4" s="495" customFormat="1" x14ac:dyDescent="0.25">
      <c r="A508" s="340">
        <v>11</v>
      </c>
      <c r="B508" s="350" t="s">
        <v>253</v>
      </c>
      <c r="C508" s="338" t="s">
        <v>1520</v>
      </c>
      <c r="D508" s="567"/>
    </row>
    <row r="509" spans="1:4" s="495" customFormat="1" x14ac:dyDescent="0.25">
      <c r="A509" s="340">
        <v>12</v>
      </c>
      <c r="B509" s="357" t="s">
        <v>487</v>
      </c>
      <c r="C509" s="338" t="s">
        <v>1522</v>
      </c>
      <c r="D509" s="563"/>
    </row>
    <row r="510" spans="1:4" s="495" customFormat="1" x14ac:dyDescent="0.25">
      <c r="A510" s="340">
        <v>13</v>
      </c>
      <c r="B510" s="350" t="s">
        <v>653</v>
      </c>
      <c r="C510" s="338" t="s">
        <v>1521</v>
      </c>
      <c r="D510" s="567"/>
    </row>
    <row r="511" spans="1:4" s="495" customFormat="1" x14ac:dyDescent="0.25">
      <c r="A511" s="354" t="s">
        <v>587</v>
      </c>
      <c r="B511" s="355"/>
      <c r="C511" s="453"/>
      <c r="D511" s="498"/>
    </row>
    <row r="512" spans="1:4" s="495" customFormat="1" x14ac:dyDescent="0.25">
      <c r="A512" s="334">
        <v>1</v>
      </c>
      <c r="B512" s="350" t="s">
        <v>214</v>
      </c>
      <c r="C512" s="338" t="s">
        <v>2214</v>
      </c>
      <c r="D512" s="498"/>
    </row>
    <row r="513" spans="1:4" s="495" customFormat="1" x14ac:dyDescent="0.25">
      <c r="A513" s="334">
        <v>2</v>
      </c>
      <c r="B513" s="350" t="s">
        <v>83</v>
      </c>
      <c r="C513" s="338" t="s">
        <v>2215</v>
      </c>
      <c r="D513" s="498"/>
    </row>
    <row r="514" spans="1:4" s="495" customFormat="1" x14ac:dyDescent="0.25">
      <c r="A514" s="334">
        <v>3</v>
      </c>
      <c r="B514" s="353" t="s">
        <v>66</v>
      </c>
      <c r="C514" s="338" t="s">
        <v>1205</v>
      </c>
      <c r="D514" s="498"/>
    </row>
    <row r="515" spans="1:4" s="495" customFormat="1" x14ac:dyDescent="0.25">
      <c r="A515" s="334">
        <v>4</v>
      </c>
      <c r="B515" s="353" t="s">
        <v>145</v>
      </c>
      <c r="C515" s="338" t="s">
        <v>2216</v>
      </c>
      <c r="D515" s="498"/>
    </row>
    <row r="516" spans="1:4" s="495" customFormat="1" x14ac:dyDescent="0.25">
      <c r="A516" s="334">
        <v>5</v>
      </c>
      <c r="B516" s="353" t="s">
        <v>182</v>
      </c>
      <c r="C516" s="338" t="s">
        <v>1206</v>
      </c>
      <c r="D516" s="498"/>
    </row>
    <row r="517" spans="1:4" s="495" customFormat="1" x14ac:dyDescent="0.25">
      <c r="A517" s="334">
        <v>6</v>
      </c>
      <c r="B517" s="350" t="s">
        <v>53</v>
      </c>
      <c r="C517" s="338" t="s">
        <v>2217</v>
      </c>
      <c r="D517" s="498"/>
    </row>
    <row r="518" spans="1:4" s="495" customFormat="1" x14ac:dyDescent="0.25">
      <c r="A518" s="334">
        <v>7</v>
      </c>
      <c r="B518" s="350" t="s">
        <v>210</v>
      </c>
      <c r="C518" s="338" t="s">
        <v>2220</v>
      </c>
      <c r="D518" s="498"/>
    </row>
    <row r="519" spans="1:4" s="495" customFormat="1" x14ac:dyDescent="0.25">
      <c r="A519" s="334">
        <v>8</v>
      </c>
      <c r="B519" s="350" t="s">
        <v>94</v>
      </c>
      <c r="C519" s="338" t="s">
        <v>2218</v>
      </c>
      <c r="D519" s="498"/>
    </row>
    <row r="520" spans="1:4" s="495" customFormat="1" x14ac:dyDescent="0.25">
      <c r="A520" s="334">
        <v>9</v>
      </c>
      <c r="B520" s="350" t="s">
        <v>213</v>
      </c>
      <c r="C520" s="338" t="s">
        <v>2219</v>
      </c>
      <c r="D520" s="498"/>
    </row>
    <row r="521" spans="1:4" s="495" customFormat="1" x14ac:dyDescent="0.25">
      <c r="A521" s="334">
        <v>10</v>
      </c>
      <c r="B521" s="349" t="s">
        <v>215</v>
      </c>
      <c r="C521" s="338" t="s">
        <v>1211</v>
      </c>
      <c r="D521" s="498"/>
    </row>
    <row r="522" spans="1:4" s="495" customFormat="1" x14ac:dyDescent="0.25">
      <c r="A522" s="340">
        <v>12</v>
      </c>
      <c r="B522" s="350" t="s">
        <v>45</v>
      </c>
      <c r="C522" s="338" t="s">
        <v>2222</v>
      </c>
      <c r="D522" s="498"/>
    </row>
    <row r="523" spans="1:4" s="495" customFormat="1" x14ac:dyDescent="0.25">
      <c r="A523" s="340">
        <v>13</v>
      </c>
      <c r="B523" s="350" t="s">
        <v>253</v>
      </c>
      <c r="C523" s="338" t="s">
        <v>2221</v>
      </c>
      <c r="D523" s="572"/>
    </row>
    <row r="524" spans="1:4" s="495" customFormat="1" x14ac:dyDescent="0.25">
      <c r="A524" s="340">
        <v>14</v>
      </c>
      <c r="B524" s="350" t="s">
        <v>653</v>
      </c>
      <c r="C524" s="338" t="s">
        <v>2223</v>
      </c>
      <c r="D524" s="572"/>
    </row>
    <row r="525" spans="1:4" s="495" customFormat="1" x14ac:dyDescent="0.25">
      <c r="A525" s="340"/>
      <c r="B525" s="357" t="s">
        <v>487</v>
      </c>
      <c r="C525" s="338" t="s">
        <v>1531</v>
      </c>
      <c r="D525" s="572"/>
    </row>
    <row r="526" spans="1:4" s="495" customFormat="1" x14ac:dyDescent="0.25">
      <c r="A526" s="340"/>
      <c r="B526" s="351" t="s">
        <v>588</v>
      </c>
      <c r="C526" s="356"/>
      <c r="D526" s="498"/>
    </row>
    <row r="527" spans="1:4" s="495" customFormat="1" x14ac:dyDescent="0.25">
      <c r="A527" s="340">
        <v>1</v>
      </c>
      <c r="B527" s="350" t="s">
        <v>216</v>
      </c>
      <c r="C527" s="338" t="s">
        <v>2188</v>
      </c>
      <c r="D527" s="498"/>
    </row>
    <row r="528" spans="1:4" s="495" customFormat="1" x14ac:dyDescent="0.25">
      <c r="A528" s="340">
        <v>2</v>
      </c>
      <c r="B528" s="350" t="s">
        <v>68</v>
      </c>
      <c r="C528" s="338" t="s">
        <v>2189</v>
      </c>
      <c r="D528" s="498"/>
    </row>
    <row r="529" spans="1:4" s="587" customFormat="1" ht="26.25" x14ac:dyDescent="0.25">
      <c r="A529" s="481"/>
      <c r="B529" s="473" t="s">
        <v>66</v>
      </c>
      <c r="C529" s="471" t="s">
        <v>1337</v>
      </c>
      <c r="D529" s="471" t="s">
        <v>2016</v>
      </c>
    </row>
    <row r="530" spans="1:4" s="495" customFormat="1" x14ac:dyDescent="0.25">
      <c r="A530" s="340">
        <v>3</v>
      </c>
      <c r="B530" s="350" t="s">
        <v>53</v>
      </c>
      <c r="C530" s="338" t="s">
        <v>2190</v>
      </c>
      <c r="D530" s="498"/>
    </row>
    <row r="531" spans="1:4" s="495" customFormat="1" x14ac:dyDescent="0.25">
      <c r="A531" s="340">
        <v>4</v>
      </c>
      <c r="B531" s="350" t="s">
        <v>2191</v>
      </c>
      <c r="C531" s="338" t="s">
        <v>2192</v>
      </c>
      <c r="D531" s="498"/>
    </row>
    <row r="532" spans="1:4" s="495" customFormat="1" x14ac:dyDescent="0.25">
      <c r="A532" s="340">
        <v>5</v>
      </c>
      <c r="B532" s="350" t="s">
        <v>94</v>
      </c>
      <c r="C532" s="338" t="s">
        <v>2194</v>
      </c>
      <c r="D532" s="498"/>
    </row>
    <row r="533" spans="1:4" s="495" customFormat="1" x14ac:dyDescent="0.25">
      <c r="A533" s="340">
        <v>6</v>
      </c>
      <c r="B533" s="350" t="s">
        <v>213</v>
      </c>
      <c r="C533" s="338" t="s">
        <v>2193</v>
      </c>
      <c r="D533" s="498"/>
    </row>
    <row r="534" spans="1:4" s="495" customFormat="1" x14ac:dyDescent="0.25">
      <c r="A534" s="340">
        <v>8</v>
      </c>
      <c r="B534" s="350" t="s">
        <v>45</v>
      </c>
      <c r="C534" s="338" t="s">
        <v>2195</v>
      </c>
      <c r="D534" s="498"/>
    </row>
    <row r="535" spans="1:4" s="495" customFormat="1" x14ac:dyDescent="0.25">
      <c r="A535" s="340">
        <v>9</v>
      </c>
      <c r="B535" s="350" t="s">
        <v>253</v>
      </c>
      <c r="C535" s="338" t="s">
        <v>2196</v>
      </c>
      <c r="D535" s="567"/>
    </row>
    <row r="536" spans="1:4" s="495" customFormat="1" x14ac:dyDescent="0.25">
      <c r="A536" s="340">
        <v>10</v>
      </c>
      <c r="B536" s="526" t="s">
        <v>487</v>
      </c>
      <c r="C536" s="338" t="s">
        <v>2197</v>
      </c>
      <c r="D536" s="563"/>
    </row>
    <row r="537" spans="1:4" s="495" customFormat="1" x14ac:dyDescent="0.25">
      <c r="A537" s="340">
        <v>11</v>
      </c>
      <c r="B537" s="350" t="s">
        <v>653</v>
      </c>
      <c r="C537" s="338" t="s">
        <v>1532</v>
      </c>
      <c r="D537" s="567"/>
    </row>
    <row r="538" spans="1:4" s="495" customFormat="1" x14ac:dyDescent="0.25">
      <c r="A538" s="340"/>
      <c r="B538" s="351" t="s">
        <v>590</v>
      </c>
      <c r="C538" s="385"/>
      <c r="D538" s="498"/>
    </row>
    <row r="539" spans="1:4" s="495" customFormat="1" x14ac:dyDescent="0.25">
      <c r="A539" s="340">
        <v>1</v>
      </c>
      <c r="B539" s="350" t="s">
        <v>216</v>
      </c>
      <c r="C539" s="338" t="s">
        <v>2198</v>
      </c>
      <c r="D539" s="498"/>
    </row>
    <row r="540" spans="1:4" s="495" customFormat="1" x14ac:dyDescent="0.25">
      <c r="A540" s="340">
        <v>2</v>
      </c>
      <c r="B540" s="350" t="s">
        <v>68</v>
      </c>
      <c r="C540" s="338" t="s">
        <v>2199</v>
      </c>
      <c r="D540" s="498"/>
    </row>
    <row r="541" spans="1:4" s="495" customFormat="1" x14ac:dyDescent="0.25">
      <c r="A541" s="340">
        <v>3</v>
      </c>
      <c r="B541" s="350" t="s">
        <v>66</v>
      </c>
      <c r="C541" s="338" t="s">
        <v>1224</v>
      </c>
      <c r="D541" s="498"/>
    </row>
    <row r="542" spans="1:4" s="495" customFormat="1" x14ac:dyDescent="0.25">
      <c r="A542" s="340">
        <v>4</v>
      </c>
      <c r="B542" s="350" t="s">
        <v>53</v>
      </c>
      <c r="C542" s="338" t="s">
        <v>2200</v>
      </c>
      <c r="D542" s="498"/>
    </row>
    <row r="543" spans="1:4" s="495" customFormat="1" x14ac:dyDescent="0.25">
      <c r="A543" s="340">
        <v>5</v>
      </c>
      <c r="B543" s="350" t="s">
        <v>2201</v>
      </c>
      <c r="C543" s="338" t="s">
        <v>2202</v>
      </c>
      <c r="D543" s="498"/>
    </row>
    <row r="544" spans="1:4" s="495" customFormat="1" x14ac:dyDescent="0.25">
      <c r="A544" s="340">
        <v>6</v>
      </c>
      <c r="B544" s="350" t="s">
        <v>94</v>
      </c>
      <c r="C544" s="338" t="s">
        <v>2203</v>
      </c>
      <c r="D544" s="498"/>
    </row>
    <row r="545" spans="1:4" s="495" customFormat="1" x14ac:dyDescent="0.25">
      <c r="A545" s="340">
        <v>7</v>
      </c>
      <c r="B545" s="350" t="s">
        <v>213</v>
      </c>
      <c r="C545" s="338" t="s">
        <v>2204</v>
      </c>
      <c r="D545" s="498"/>
    </row>
    <row r="546" spans="1:4" s="587" customFormat="1" ht="26.25" x14ac:dyDescent="0.25">
      <c r="A546" s="481">
        <v>8</v>
      </c>
      <c r="B546" s="473" t="s">
        <v>64</v>
      </c>
      <c r="C546" s="599" t="s">
        <v>1337</v>
      </c>
      <c r="D546" s="596" t="s">
        <v>1392</v>
      </c>
    </row>
    <row r="547" spans="1:4" s="495" customFormat="1" x14ac:dyDescent="0.25">
      <c r="A547" s="340">
        <v>10</v>
      </c>
      <c r="B547" s="350" t="s">
        <v>45</v>
      </c>
      <c r="C547" s="338" t="s">
        <v>2206</v>
      </c>
      <c r="D547" s="498"/>
    </row>
    <row r="548" spans="1:4" s="495" customFormat="1" x14ac:dyDescent="0.25">
      <c r="A548" s="340">
        <v>11</v>
      </c>
      <c r="B548" s="350" t="s">
        <v>253</v>
      </c>
      <c r="C548" s="338" t="s">
        <v>2205</v>
      </c>
      <c r="D548" s="567" t="s">
        <v>1533</v>
      </c>
    </row>
    <row r="549" spans="1:4" s="495" customFormat="1" x14ac:dyDescent="0.25">
      <c r="A549" s="340">
        <v>12</v>
      </c>
      <c r="B549" s="357" t="s">
        <v>487</v>
      </c>
      <c r="C549" s="338" t="s">
        <v>1531</v>
      </c>
      <c r="D549" s="563"/>
    </row>
    <row r="550" spans="1:4" s="495" customFormat="1" x14ac:dyDescent="0.25">
      <c r="A550" s="340">
        <v>13</v>
      </c>
      <c r="B550" s="350" t="s">
        <v>653</v>
      </c>
      <c r="C550" s="338" t="s">
        <v>2207</v>
      </c>
      <c r="D550" s="567"/>
    </row>
    <row r="551" spans="1:4" s="495" customFormat="1" x14ac:dyDescent="0.25">
      <c r="A551" s="340"/>
      <c r="B551" s="351" t="s">
        <v>507</v>
      </c>
      <c r="C551" s="385"/>
      <c r="D551" s="498"/>
    </row>
    <row r="552" spans="1:4" s="495" customFormat="1" x14ac:dyDescent="0.25">
      <c r="A552" s="340" t="s">
        <v>61</v>
      </c>
      <c r="B552" s="350" t="s">
        <v>219</v>
      </c>
      <c r="C552" s="338" t="s">
        <v>1631</v>
      </c>
      <c r="D552" s="498"/>
    </row>
    <row r="553" spans="1:4" s="495" customFormat="1" x14ac:dyDescent="0.25">
      <c r="A553" s="340" t="s">
        <v>63</v>
      </c>
      <c r="B553" s="350" t="s">
        <v>220</v>
      </c>
      <c r="C553" s="338" t="s">
        <v>1632</v>
      </c>
      <c r="D553" s="498"/>
    </row>
    <row r="554" spans="1:4" s="587" customFormat="1" ht="26.25" x14ac:dyDescent="0.25">
      <c r="A554" s="481"/>
      <c r="B554" s="473" t="s">
        <v>66</v>
      </c>
      <c r="C554" s="471" t="s">
        <v>1337</v>
      </c>
      <c r="D554" s="471" t="s">
        <v>2398</v>
      </c>
    </row>
    <row r="555" spans="1:4" s="495" customFormat="1" x14ac:dyDescent="0.25">
      <c r="A555" s="340" t="s">
        <v>163</v>
      </c>
      <c r="B555" s="350" t="s">
        <v>53</v>
      </c>
      <c r="C555" s="338" t="s">
        <v>1633</v>
      </c>
      <c r="D555" s="498"/>
    </row>
    <row r="556" spans="1:4" s="495" customFormat="1" x14ac:dyDescent="0.25">
      <c r="A556" s="340" t="s">
        <v>165</v>
      </c>
      <c r="B556" s="350" t="s">
        <v>210</v>
      </c>
      <c r="C556" s="338" t="s">
        <v>1634</v>
      </c>
      <c r="D556" s="498"/>
    </row>
    <row r="557" spans="1:4" s="495" customFormat="1" x14ac:dyDescent="0.25">
      <c r="A557" s="340" t="s">
        <v>172</v>
      </c>
      <c r="B557" s="350" t="s">
        <v>213</v>
      </c>
      <c r="C557" s="338" t="s">
        <v>1635</v>
      </c>
      <c r="D557" s="498"/>
    </row>
    <row r="558" spans="1:4" s="495" customFormat="1" x14ac:dyDescent="0.25">
      <c r="A558" s="340" t="s">
        <v>221</v>
      </c>
      <c r="B558" s="350" t="s">
        <v>94</v>
      </c>
      <c r="C558" s="338" t="s">
        <v>1636</v>
      </c>
      <c r="D558" s="498"/>
    </row>
    <row r="559" spans="1:4" s="495" customFormat="1" x14ac:dyDescent="0.25">
      <c r="A559" s="340">
        <v>7</v>
      </c>
      <c r="B559" s="350" t="s">
        <v>96</v>
      </c>
      <c r="C559" s="338" t="s">
        <v>1637</v>
      </c>
      <c r="D559" s="498"/>
    </row>
    <row r="560" spans="1:4" s="495" customFormat="1" x14ac:dyDescent="0.25">
      <c r="A560" s="340">
        <v>9</v>
      </c>
      <c r="B560" s="350" t="s">
        <v>45</v>
      </c>
      <c r="C560" s="338" t="s">
        <v>1638</v>
      </c>
      <c r="D560" s="498"/>
    </row>
    <row r="561" spans="1:4" s="495" customFormat="1" x14ac:dyDescent="0.25">
      <c r="A561" s="340">
        <v>10</v>
      </c>
      <c r="B561" s="350" t="s">
        <v>253</v>
      </c>
      <c r="C561" s="338" t="s">
        <v>1523</v>
      </c>
      <c r="D561" s="567"/>
    </row>
    <row r="562" spans="1:4" s="495" customFormat="1" x14ac:dyDescent="0.25">
      <c r="A562" s="340">
        <v>11</v>
      </c>
      <c r="B562" s="526" t="s">
        <v>487</v>
      </c>
      <c r="C562" s="338" t="s">
        <v>1524</v>
      </c>
      <c r="D562" s="563"/>
    </row>
    <row r="563" spans="1:4" s="495" customFormat="1" x14ac:dyDescent="0.25">
      <c r="A563" s="340">
        <v>12</v>
      </c>
      <c r="B563" s="350" t="s">
        <v>653</v>
      </c>
      <c r="C563" s="338" t="s">
        <v>1525</v>
      </c>
      <c r="D563" s="567"/>
    </row>
    <row r="564" spans="1:4" s="495" customFormat="1" x14ac:dyDescent="0.25">
      <c r="A564" s="354" t="s">
        <v>594</v>
      </c>
      <c r="B564" s="355"/>
      <c r="C564" s="453"/>
      <c r="D564" s="498"/>
    </row>
    <row r="565" spans="1:4" s="495" customFormat="1" x14ac:dyDescent="0.25">
      <c r="A565" s="334">
        <v>1</v>
      </c>
      <c r="B565" s="349" t="s">
        <v>222</v>
      </c>
      <c r="C565" s="338" t="s">
        <v>2208</v>
      </c>
      <c r="D565" s="568"/>
    </row>
    <row r="566" spans="1:4" s="495" customFormat="1" x14ac:dyDescent="0.25">
      <c r="A566" s="334">
        <v>2</v>
      </c>
      <c r="B566" s="350" t="s">
        <v>223</v>
      </c>
      <c r="C566" s="338" t="s">
        <v>2209</v>
      </c>
      <c r="D566" s="568"/>
    </row>
    <row r="567" spans="1:4" s="495" customFormat="1" x14ac:dyDescent="0.25">
      <c r="A567" s="334">
        <v>3</v>
      </c>
      <c r="B567" s="350" t="s">
        <v>53</v>
      </c>
      <c r="C567" s="338" t="s">
        <v>1199</v>
      </c>
      <c r="D567" s="568"/>
    </row>
    <row r="568" spans="1:4" s="495" customFormat="1" x14ac:dyDescent="0.25">
      <c r="A568" s="334">
        <v>4</v>
      </c>
      <c r="B568" s="349" t="s">
        <v>210</v>
      </c>
      <c r="C568" s="338" t="s">
        <v>2212</v>
      </c>
      <c r="D568" s="568"/>
    </row>
    <row r="569" spans="1:4" s="495" customFormat="1" x14ac:dyDescent="0.25">
      <c r="A569" s="334">
        <v>6</v>
      </c>
      <c r="B569" s="357" t="s">
        <v>224</v>
      </c>
      <c r="C569" s="338" t="s">
        <v>1198</v>
      </c>
      <c r="D569" s="568"/>
    </row>
    <row r="570" spans="1:4" s="495" customFormat="1" x14ac:dyDescent="0.25">
      <c r="A570" s="334">
        <v>7</v>
      </c>
      <c r="B570" s="350" t="s">
        <v>253</v>
      </c>
      <c r="C570" s="338" t="s">
        <v>1534</v>
      </c>
      <c r="D570" s="567"/>
    </row>
    <row r="571" spans="1:4" s="495" customFormat="1" x14ac:dyDescent="0.25">
      <c r="A571" s="334">
        <v>8</v>
      </c>
      <c r="B571" s="350" t="s">
        <v>653</v>
      </c>
      <c r="C571" s="338" t="s">
        <v>1535</v>
      </c>
      <c r="D571" s="567"/>
    </row>
    <row r="572" spans="1:4" s="495" customFormat="1" x14ac:dyDescent="0.25">
      <c r="A572" s="334">
        <v>9</v>
      </c>
      <c r="B572" s="350" t="s">
        <v>2210</v>
      </c>
      <c r="C572" s="338" t="s">
        <v>2211</v>
      </c>
      <c r="D572" s="567"/>
    </row>
    <row r="573" spans="1:4" s="495" customFormat="1" x14ac:dyDescent="0.25">
      <c r="A573" s="334">
        <v>10</v>
      </c>
      <c r="B573" s="350" t="s">
        <v>478</v>
      </c>
      <c r="C573" s="338" t="s">
        <v>2213</v>
      </c>
      <c r="D573" s="567"/>
    </row>
    <row r="574" spans="1:4" s="495" customFormat="1" x14ac:dyDescent="0.25">
      <c r="A574" s="334">
        <v>11</v>
      </c>
      <c r="B574" s="350" t="s">
        <v>45</v>
      </c>
      <c r="C574" s="338" t="s">
        <v>2295</v>
      </c>
      <c r="D574" s="567"/>
    </row>
    <row r="575" spans="1:4" s="495" customFormat="1" x14ac:dyDescent="0.25">
      <c r="A575" s="340"/>
      <c r="B575" s="351" t="s">
        <v>235</v>
      </c>
      <c r="C575" s="385"/>
      <c r="D575" s="498"/>
    </row>
    <row r="576" spans="1:4" s="495" customFormat="1" x14ac:dyDescent="0.25">
      <c r="A576" s="340">
        <v>1</v>
      </c>
      <c r="B576" s="349" t="s">
        <v>236</v>
      </c>
      <c r="C576" s="338" t="s">
        <v>1639</v>
      </c>
      <c r="D576" s="498"/>
    </row>
    <row r="577" spans="1:4" s="495" customFormat="1" x14ac:dyDescent="0.25">
      <c r="A577" s="340">
        <v>2</v>
      </c>
      <c r="B577" s="350" t="s">
        <v>237</v>
      </c>
      <c r="C577" s="338" t="s">
        <v>1640</v>
      </c>
      <c r="D577" s="498"/>
    </row>
    <row r="578" spans="1:4" s="495" customFormat="1" x14ac:dyDescent="0.25">
      <c r="A578" s="340">
        <v>3</v>
      </c>
      <c r="B578" s="350" t="s">
        <v>53</v>
      </c>
      <c r="C578" s="338" t="s">
        <v>1641</v>
      </c>
      <c r="D578" s="498"/>
    </row>
    <row r="579" spans="1:4" s="495" customFormat="1" x14ac:dyDescent="0.25">
      <c r="A579" s="340">
        <v>4</v>
      </c>
      <c r="B579" s="350" t="s">
        <v>238</v>
      </c>
      <c r="C579" s="338" t="s">
        <v>1642</v>
      </c>
      <c r="D579" s="498"/>
    </row>
    <row r="580" spans="1:4" s="495" customFormat="1" x14ac:dyDescent="0.25">
      <c r="A580" s="340">
        <v>6</v>
      </c>
      <c r="B580" s="350" t="s">
        <v>45</v>
      </c>
      <c r="C580" s="338" t="s">
        <v>2146</v>
      </c>
      <c r="D580" s="498"/>
    </row>
    <row r="581" spans="1:4" s="495" customFormat="1" x14ac:dyDescent="0.25">
      <c r="A581" s="340">
        <v>7</v>
      </c>
      <c r="B581" s="350" t="s">
        <v>478</v>
      </c>
      <c r="C581" s="338" t="s">
        <v>1526</v>
      </c>
      <c r="D581" s="430"/>
    </row>
    <row r="582" spans="1:4" s="495" customFormat="1" x14ac:dyDescent="0.25">
      <c r="A582" s="340">
        <v>8</v>
      </c>
      <c r="B582" s="350" t="s">
        <v>253</v>
      </c>
      <c r="C582" s="338" t="s">
        <v>1527</v>
      </c>
      <c r="D582" s="567"/>
    </row>
    <row r="583" spans="1:4" s="495" customFormat="1" x14ac:dyDescent="0.25">
      <c r="A583" s="340">
        <v>9</v>
      </c>
      <c r="B583" s="350" t="s">
        <v>653</v>
      </c>
      <c r="C583" s="338" t="s">
        <v>1528</v>
      </c>
      <c r="D583" s="567"/>
    </row>
    <row r="584" spans="1:4" s="495" customFormat="1" x14ac:dyDescent="0.25">
      <c r="A584" s="340"/>
      <c r="B584" s="351" t="s">
        <v>239</v>
      </c>
      <c r="C584" s="338"/>
      <c r="D584" s="498"/>
    </row>
    <row r="585" spans="1:4" s="495" customFormat="1" x14ac:dyDescent="0.25">
      <c r="A585" s="340">
        <v>1</v>
      </c>
      <c r="B585" s="350" t="s">
        <v>240</v>
      </c>
      <c r="C585" s="338" t="s">
        <v>1231</v>
      </c>
      <c r="D585" s="498"/>
    </row>
    <row r="586" spans="1:4" s="495" customFormat="1" x14ac:dyDescent="0.25">
      <c r="A586" s="340">
        <v>2</v>
      </c>
      <c r="B586" s="350" t="s">
        <v>595</v>
      </c>
      <c r="C586" s="338" t="s">
        <v>1232</v>
      </c>
      <c r="D586" s="498"/>
    </row>
    <row r="587" spans="1:4" s="495" customFormat="1" x14ac:dyDescent="0.25">
      <c r="A587" s="340">
        <v>3</v>
      </c>
      <c r="B587" s="350" t="s">
        <v>44</v>
      </c>
      <c r="C587" s="338" t="s">
        <v>1233</v>
      </c>
      <c r="D587" s="498"/>
    </row>
    <row r="588" spans="1:4" s="495" customFormat="1" x14ac:dyDescent="0.25">
      <c r="A588" s="334">
        <v>4</v>
      </c>
      <c r="B588" s="350" t="s">
        <v>45</v>
      </c>
      <c r="C588" s="338" t="s">
        <v>1234</v>
      </c>
      <c r="D588" s="498"/>
    </row>
    <row r="589" spans="1:4" s="495" customFormat="1" x14ac:dyDescent="0.25">
      <c r="A589" s="340"/>
      <c r="B589" s="351" t="s">
        <v>241</v>
      </c>
      <c r="C589" s="338"/>
      <c r="D589" s="498"/>
    </row>
    <row r="590" spans="1:4" s="495" customFormat="1" x14ac:dyDescent="0.25">
      <c r="A590" s="340">
        <v>1</v>
      </c>
      <c r="B590" s="353" t="s">
        <v>242</v>
      </c>
      <c r="C590" s="338" t="s">
        <v>1643</v>
      </c>
      <c r="D590" s="498"/>
    </row>
    <row r="591" spans="1:4" s="495" customFormat="1" x14ac:dyDescent="0.25">
      <c r="A591" s="340">
        <v>2</v>
      </c>
      <c r="B591" s="353" t="s">
        <v>243</v>
      </c>
      <c r="C591" s="338" t="s">
        <v>1644</v>
      </c>
      <c r="D591" s="498"/>
    </row>
    <row r="592" spans="1:4" s="587" customFormat="1" x14ac:dyDescent="0.25">
      <c r="A592" s="481"/>
      <c r="B592" s="602" t="s">
        <v>224</v>
      </c>
      <c r="C592" s="471" t="s">
        <v>1337</v>
      </c>
      <c r="D592" s="471" t="s">
        <v>2299</v>
      </c>
    </row>
    <row r="593" spans="1:4" s="495" customFormat="1" x14ac:dyDescent="0.25">
      <c r="A593" s="340">
        <v>3</v>
      </c>
      <c r="B593" s="353" t="s">
        <v>244</v>
      </c>
      <c r="C593" s="338" t="s">
        <v>1645</v>
      </c>
      <c r="D593" s="498"/>
    </row>
    <row r="594" spans="1:4" s="495" customFormat="1" x14ac:dyDescent="0.25">
      <c r="A594" s="340">
        <v>4</v>
      </c>
      <c r="B594" s="353" t="s">
        <v>96</v>
      </c>
      <c r="C594" s="338" t="s">
        <v>1646</v>
      </c>
      <c r="D594" s="498"/>
    </row>
    <row r="595" spans="1:4" s="495" customFormat="1" x14ac:dyDescent="0.25">
      <c r="A595" s="340">
        <v>6</v>
      </c>
      <c r="B595" s="353" t="s">
        <v>45</v>
      </c>
      <c r="C595" s="338" t="s">
        <v>1647</v>
      </c>
      <c r="D595" s="498"/>
    </row>
    <row r="596" spans="1:4" s="495" customFormat="1" x14ac:dyDescent="0.25">
      <c r="A596" s="340">
        <v>7</v>
      </c>
      <c r="B596" s="350" t="s">
        <v>253</v>
      </c>
      <c r="C596" s="338" t="s">
        <v>1529</v>
      </c>
      <c r="D596" s="567"/>
    </row>
    <row r="597" spans="1:4" s="495" customFormat="1" x14ac:dyDescent="0.25">
      <c r="A597" s="340">
        <v>8</v>
      </c>
      <c r="B597" s="350" t="s">
        <v>653</v>
      </c>
      <c r="C597" s="338" t="s">
        <v>1530</v>
      </c>
      <c r="D597" s="567"/>
    </row>
    <row r="598" spans="1:4" s="495" customFormat="1" x14ac:dyDescent="0.25">
      <c r="A598" s="340"/>
      <c r="B598" s="351" t="s">
        <v>245</v>
      </c>
      <c r="C598" s="453"/>
      <c r="D598" s="498"/>
    </row>
    <row r="599" spans="1:4" s="495" customFormat="1" x14ac:dyDescent="0.25">
      <c r="A599" s="340">
        <v>1</v>
      </c>
      <c r="B599" s="350" t="s">
        <v>246</v>
      </c>
      <c r="C599" s="338" t="s">
        <v>2296</v>
      </c>
      <c r="D599" s="498"/>
    </row>
    <row r="600" spans="1:4" s="495" customFormat="1" x14ac:dyDescent="0.25">
      <c r="A600" s="340">
        <v>2</v>
      </c>
      <c r="B600" s="350" t="s">
        <v>45</v>
      </c>
      <c r="C600" s="338" t="s">
        <v>2297</v>
      </c>
      <c r="D600" s="498"/>
    </row>
    <row r="601" spans="1:4" s="495" customFormat="1" x14ac:dyDescent="0.25">
      <c r="A601" s="340">
        <v>3</v>
      </c>
      <c r="B601" s="350" t="s">
        <v>653</v>
      </c>
      <c r="C601" s="338" t="s">
        <v>2298</v>
      </c>
      <c r="D601" s="567"/>
    </row>
    <row r="602" spans="1:4" s="495" customFormat="1" x14ac:dyDescent="0.25">
      <c r="A602" s="340"/>
      <c r="B602" s="354" t="s">
        <v>247</v>
      </c>
      <c r="C602" s="453"/>
      <c r="D602" s="498"/>
    </row>
    <row r="603" spans="1:4" s="495" customFormat="1" x14ac:dyDescent="0.25">
      <c r="A603" s="340">
        <v>1</v>
      </c>
      <c r="B603" s="359" t="s">
        <v>248</v>
      </c>
      <c r="C603" s="338" t="s">
        <v>2147</v>
      </c>
      <c r="D603" s="498"/>
    </row>
    <row r="604" spans="1:4" s="495" customFormat="1" x14ac:dyDescent="0.25">
      <c r="A604" s="340">
        <v>2</v>
      </c>
      <c r="B604" s="353" t="s">
        <v>249</v>
      </c>
      <c r="C604" s="338" t="s">
        <v>2148</v>
      </c>
      <c r="D604" s="498"/>
    </row>
    <row r="605" spans="1:4" s="495" customFormat="1" x14ac:dyDescent="0.25">
      <c r="A605" s="340">
        <v>3</v>
      </c>
      <c r="B605" s="353" t="s">
        <v>250</v>
      </c>
      <c r="C605" s="338" t="s">
        <v>2149</v>
      </c>
      <c r="D605" s="498"/>
    </row>
    <row r="606" spans="1:4" s="587" customFormat="1" x14ac:dyDescent="0.25">
      <c r="A606" s="481"/>
      <c r="B606" s="602" t="s">
        <v>1687</v>
      </c>
      <c r="C606" s="471" t="s">
        <v>1337</v>
      </c>
      <c r="D606" s="471" t="s">
        <v>2397</v>
      </c>
    </row>
    <row r="607" spans="1:4" s="495" customFormat="1" x14ac:dyDescent="0.25">
      <c r="A607" s="340"/>
      <c r="B607" s="354" t="s">
        <v>98</v>
      </c>
      <c r="C607" s="385"/>
      <c r="D607" s="498"/>
    </row>
    <row r="608" spans="1:4" s="495" customFormat="1" x14ac:dyDescent="0.25">
      <c r="A608" s="340">
        <v>4</v>
      </c>
      <c r="B608" s="335" t="s">
        <v>100</v>
      </c>
      <c r="C608" s="338" t="s">
        <v>2150</v>
      </c>
      <c r="D608" s="498"/>
    </row>
    <row r="609" spans="1:4" s="495" customFormat="1" x14ac:dyDescent="0.25">
      <c r="A609" s="340">
        <v>5</v>
      </c>
      <c r="B609" s="350" t="s">
        <v>299</v>
      </c>
      <c r="C609" s="338" t="s">
        <v>2151</v>
      </c>
      <c r="D609" s="498"/>
    </row>
    <row r="610" spans="1:4" s="495" customFormat="1" x14ac:dyDescent="0.25">
      <c r="A610" s="340">
        <v>12</v>
      </c>
      <c r="B610" s="335" t="s">
        <v>253</v>
      </c>
      <c r="C610" s="338" t="s">
        <v>2152</v>
      </c>
      <c r="D610" s="498"/>
    </row>
    <row r="611" spans="1:4" s="495" customFormat="1" x14ac:dyDescent="0.25">
      <c r="A611" s="340">
        <v>13</v>
      </c>
      <c r="B611" s="350" t="s">
        <v>104</v>
      </c>
      <c r="C611" s="338" t="s">
        <v>2153</v>
      </c>
      <c r="D611" s="498"/>
    </row>
    <row r="612" spans="1:4" s="495" customFormat="1" x14ac:dyDescent="0.25">
      <c r="A612" s="340">
        <v>14</v>
      </c>
      <c r="B612" s="335" t="s">
        <v>105</v>
      </c>
      <c r="C612" s="338" t="s">
        <v>2154</v>
      </c>
      <c r="D612" s="498"/>
    </row>
    <row r="613" spans="1:4" s="495" customFormat="1" x14ac:dyDescent="0.25">
      <c r="A613" s="340">
        <v>15</v>
      </c>
      <c r="B613" s="335" t="s">
        <v>254</v>
      </c>
      <c r="C613" s="338" t="s">
        <v>2155</v>
      </c>
      <c r="D613" s="498"/>
    </row>
    <row r="614" spans="1:4" s="495" customFormat="1" x14ac:dyDescent="0.25">
      <c r="A614" s="340">
        <v>16</v>
      </c>
      <c r="B614" s="335" t="s">
        <v>106</v>
      </c>
      <c r="C614" s="338" t="s">
        <v>2156</v>
      </c>
      <c r="D614" s="498"/>
    </row>
    <row r="615" spans="1:4" s="495" customFormat="1" x14ac:dyDescent="0.25">
      <c r="A615" s="340">
        <v>19</v>
      </c>
      <c r="B615" s="339" t="s">
        <v>664</v>
      </c>
      <c r="C615" s="494" t="s">
        <v>1193</v>
      </c>
      <c r="D615" s="498"/>
    </row>
    <row r="616" spans="1:4" s="495" customFormat="1" x14ac:dyDescent="0.25">
      <c r="A616" s="340">
        <v>20</v>
      </c>
      <c r="B616" s="335" t="s">
        <v>108</v>
      </c>
      <c r="C616" s="338" t="s">
        <v>2157</v>
      </c>
      <c r="D616" s="498"/>
    </row>
    <row r="617" spans="1:4" s="495" customFormat="1" x14ac:dyDescent="0.25">
      <c r="A617" s="340"/>
      <c r="B617" s="351" t="s">
        <v>300</v>
      </c>
      <c r="C617" s="385"/>
      <c r="D617" s="498"/>
    </row>
    <row r="618" spans="1:4" s="495" customFormat="1" x14ac:dyDescent="0.25">
      <c r="A618" s="340">
        <v>20</v>
      </c>
      <c r="B618" s="350" t="s">
        <v>257</v>
      </c>
      <c r="C618" s="338" t="s">
        <v>2158</v>
      </c>
      <c r="D618" s="498"/>
    </row>
    <row r="619" spans="1:4" s="495" customFormat="1" x14ac:dyDescent="0.25">
      <c r="A619" s="340">
        <v>21</v>
      </c>
      <c r="B619" s="350" t="s">
        <v>258</v>
      </c>
      <c r="C619" s="338" t="s">
        <v>2159</v>
      </c>
      <c r="D619" s="498"/>
    </row>
    <row r="620" spans="1:4" s="495" customFormat="1" x14ac:dyDescent="0.25">
      <c r="A620" s="340">
        <v>22</v>
      </c>
      <c r="B620" s="355" t="s">
        <v>259</v>
      </c>
      <c r="C620" s="338" t="s">
        <v>2160</v>
      </c>
      <c r="D620" s="498"/>
    </row>
    <row r="621" spans="1:4" s="495" customFormat="1" x14ac:dyDescent="0.25">
      <c r="A621" s="340">
        <v>23</v>
      </c>
      <c r="B621" s="355" t="s">
        <v>260</v>
      </c>
      <c r="C621" s="338" t="s">
        <v>2161</v>
      </c>
      <c r="D621" s="498"/>
    </row>
    <row r="622" spans="1:4" s="495" customFormat="1" x14ac:dyDescent="0.25">
      <c r="A622" s="340">
        <v>24</v>
      </c>
      <c r="B622" s="355" t="s">
        <v>106</v>
      </c>
      <c r="C622" s="338" t="s">
        <v>2162</v>
      </c>
      <c r="D622" s="498"/>
    </row>
    <row r="623" spans="1:4" s="495" customFormat="1" ht="18.75" x14ac:dyDescent="0.3">
      <c r="A623" s="361"/>
      <c r="B623" s="362" t="s">
        <v>508</v>
      </c>
      <c r="C623" s="385"/>
      <c r="D623" s="498"/>
    </row>
    <row r="624" spans="1:4" s="495" customFormat="1" x14ac:dyDescent="0.25">
      <c r="A624" s="340"/>
      <c r="B624" s="363" t="s">
        <v>15</v>
      </c>
      <c r="C624" s="356"/>
      <c r="D624" s="498"/>
    </row>
    <row r="625" spans="1:4" s="495" customFormat="1" x14ac:dyDescent="0.25">
      <c r="A625" s="334">
        <v>1</v>
      </c>
      <c r="B625" s="350" t="s">
        <v>263</v>
      </c>
      <c r="C625" s="338" t="s">
        <v>2163</v>
      </c>
      <c r="D625" s="498"/>
    </row>
    <row r="626" spans="1:4" s="495" customFormat="1" x14ac:dyDescent="0.25">
      <c r="A626" s="334">
        <v>2</v>
      </c>
      <c r="B626" s="349" t="s">
        <v>207</v>
      </c>
      <c r="C626" s="338" t="s">
        <v>2164</v>
      </c>
      <c r="D626" s="434"/>
    </row>
    <row r="627" spans="1:4" s="495" customFormat="1" x14ac:dyDescent="0.25">
      <c r="A627" s="340">
        <v>3</v>
      </c>
      <c r="B627" s="350" t="s">
        <v>43</v>
      </c>
      <c r="C627" s="494" t="s">
        <v>1969</v>
      </c>
      <c r="D627" s="573"/>
    </row>
    <row r="628" spans="1:4" s="495" customFormat="1" x14ac:dyDescent="0.25">
      <c r="A628" s="340">
        <v>4</v>
      </c>
      <c r="B628" s="350" t="s">
        <v>208</v>
      </c>
      <c r="C628" s="338" t="s">
        <v>2166</v>
      </c>
      <c r="D628" s="498"/>
    </row>
    <row r="629" spans="1:4" s="495" customFormat="1" x14ac:dyDescent="0.25">
      <c r="A629" s="334"/>
      <c r="B629" s="351" t="s">
        <v>46</v>
      </c>
      <c r="C629" s="453"/>
      <c r="D629" s="498"/>
    </row>
    <row r="630" spans="1:4" s="495" customFormat="1" x14ac:dyDescent="0.25">
      <c r="A630" s="334">
        <v>1</v>
      </c>
      <c r="B630" s="339" t="s">
        <v>24</v>
      </c>
      <c r="C630" s="338" t="s">
        <v>2165</v>
      </c>
      <c r="D630" s="498"/>
    </row>
    <row r="631" spans="1:4" s="495" customFormat="1" x14ac:dyDescent="0.25">
      <c r="A631" s="334">
        <v>2</v>
      </c>
      <c r="B631" s="355" t="s">
        <v>35</v>
      </c>
      <c r="C631" s="338" t="s">
        <v>2167</v>
      </c>
      <c r="D631" s="498"/>
    </row>
    <row r="632" spans="1:4" s="495" customFormat="1" x14ac:dyDescent="0.25">
      <c r="A632" s="334"/>
      <c r="B632" s="351" t="s">
        <v>600</v>
      </c>
      <c r="C632" s="356"/>
      <c r="D632" s="498"/>
    </row>
    <row r="633" spans="1:4" s="495" customFormat="1" x14ac:dyDescent="0.25">
      <c r="A633" s="334">
        <v>1</v>
      </c>
      <c r="B633" s="349" t="s">
        <v>264</v>
      </c>
      <c r="C633" s="338" t="s">
        <v>2231</v>
      </c>
      <c r="D633" s="498"/>
    </row>
    <row r="634" spans="1:4" s="495" customFormat="1" x14ac:dyDescent="0.25">
      <c r="A634" s="334">
        <v>2</v>
      </c>
      <c r="B634" s="349" t="s">
        <v>265</v>
      </c>
      <c r="C634" s="338" t="s">
        <v>2232</v>
      </c>
      <c r="D634" s="498"/>
    </row>
    <row r="635" spans="1:4" s="495" customFormat="1" x14ac:dyDescent="0.25">
      <c r="A635" s="334">
        <v>3</v>
      </c>
      <c r="B635" s="349" t="s">
        <v>536</v>
      </c>
      <c r="C635" s="338" t="s">
        <v>2233</v>
      </c>
      <c r="D635" s="498"/>
    </row>
    <row r="636" spans="1:4" s="495" customFormat="1" x14ac:dyDescent="0.25">
      <c r="A636" s="334">
        <v>4</v>
      </c>
      <c r="B636" s="349" t="s">
        <v>53</v>
      </c>
      <c r="C636" s="338" t="s">
        <v>2246</v>
      </c>
      <c r="D636" s="498"/>
    </row>
    <row r="637" spans="1:4" s="495" customFormat="1" x14ac:dyDescent="0.25">
      <c r="A637" s="334">
        <v>5</v>
      </c>
      <c r="B637" s="349" t="s">
        <v>210</v>
      </c>
      <c r="C637" s="338" t="s">
        <v>2234</v>
      </c>
      <c r="D637" s="498"/>
    </row>
    <row r="638" spans="1:4" s="495" customFormat="1" x14ac:dyDescent="0.25">
      <c r="A638" s="334">
        <v>6</v>
      </c>
      <c r="B638" s="349" t="s">
        <v>94</v>
      </c>
      <c r="C638" s="338" t="s">
        <v>2236</v>
      </c>
      <c r="D638" s="498"/>
    </row>
    <row r="639" spans="1:4" s="495" customFormat="1" x14ac:dyDescent="0.25">
      <c r="A639" s="334">
        <v>7</v>
      </c>
      <c r="B639" s="349" t="s">
        <v>213</v>
      </c>
      <c r="C639" s="338" t="s">
        <v>2235</v>
      </c>
      <c r="D639" s="498"/>
    </row>
    <row r="640" spans="1:4" s="495" customFormat="1" x14ac:dyDescent="0.25">
      <c r="A640" s="340">
        <v>9</v>
      </c>
      <c r="B640" s="349" t="s">
        <v>45</v>
      </c>
      <c r="C640" s="338" t="s">
        <v>2238</v>
      </c>
      <c r="D640" s="498"/>
    </row>
    <row r="641" spans="1:4" s="495" customFormat="1" x14ac:dyDescent="0.25">
      <c r="A641" s="340">
        <v>10</v>
      </c>
      <c r="B641" s="350" t="s">
        <v>253</v>
      </c>
      <c r="C641" s="338" t="s">
        <v>2237</v>
      </c>
      <c r="D641" s="563"/>
    </row>
    <row r="642" spans="1:4" s="495" customFormat="1" x14ac:dyDescent="0.25">
      <c r="A642" s="340">
        <v>11</v>
      </c>
      <c r="B642" s="350" t="s">
        <v>653</v>
      </c>
      <c r="C642" s="338" t="s">
        <v>2239</v>
      </c>
      <c r="D642" s="563"/>
    </row>
    <row r="643" spans="1:4" s="495" customFormat="1" x14ac:dyDescent="0.25">
      <c r="A643" s="340"/>
      <c r="B643" s="351" t="s">
        <v>2240</v>
      </c>
      <c r="C643" s="338"/>
      <c r="D643" s="563"/>
    </row>
    <row r="644" spans="1:4" s="495" customFormat="1" x14ac:dyDescent="0.25">
      <c r="A644" s="340">
        <v>1</v>
      </c>
      <c r="B644" s="349" t="s">
        <v>2241</v>
      </c>
      <c r="C644" s="338" t="s">
        <v>2242</v>
      </c>
      <c r="D644" s="563"/>
    </row>
    <row r="645" spans="1:4" s="495" customFormat="1" x14ac:dyDescent="0.25">
      <c r="A645" s="334">
        <v>2</v>
      </c>
      <c r="B645" s="349" t="s">
        <v>265</v>
      </c>
      <c r="C645" s="338" t="s">
        <v>2243</v>
      </c>
      <c r="D645" s="563"/>
    </row>
    <row r="646" spans="1:4" s="495" customFormat="1" x14ac:dyDescent="0.25">
      <c r="A646" s="334">
        <v>3</v>
      </c>
      <c r="B646" s="349" t="s">
        <v>536</v>
      </c>
      <c r="C646" s="338" t="s">
        <v>2244</v>
      </c>
      <c r="D646" s="563"/>
    </row>
    <row r="647" spans="1:4" s="495" customFormat="1" x14ac:dyDescent="0.25">
      <c r="A647" s="334">
        <v>4</v>
      </c>
      <c r="B647" s="349" t="s">
        <v>53</v>
      </c>
      <c r="C647" s="338" t="s">
        <v>2245</v>
      </c>
      <c r="D647" s="563"/>
    </row>
    <row r="648" spans="1:4" s="495" customFormat="1" x14ac:dyDescent="0.25">
      <c r="A648" s="334">
        <v>5</v>
      </c>
      <c r="B648" s="349" t="s">
        <v>210</v>
      </c>
      <c r="C648" s="338" t="s">
        <v>2247</v>
      </c>
      <c r="D648" s="563"/>
    </row>
    <row r="649" spans="1:4" s="495" customFormat="1" x14ac:dyDescent="0.25">
      <c r="A649" s="340">
        <v>9</v>
      </c>
      <c r="B649" s="349" t="s">
        <v>45</v>
      </c>
      <c r="C649" s="338" t="s">
        <v>2248</v>
      </c>
      <c r="D649" s="563"/>
    </row>
    <row r="650" spans="1:4" s="495" customFormat="1" x14ac:dyDescent="0.25">
      <c r="A650" s="340"/>
      <c r="B650" s="351" t="s">
        <v>512</v>
      </c>
      <c r="C650" s="453"/>
      <c r="D650" s="498"/>
    </row>
    <row r="651" spans="1:4" s="495" customFormat="1" x14ac:dyDescent="0.25">
      <c r="A651" s="340">
        <v>1</v>
      </c>
      <c r="B651" s="350" t="s">
        <v>266</v>
      </c>
      <c r="C651" s="338" t="s">
        <v>1648</v>
      </c>
      <c r="D651" s="498"/>
    </row>
    <row r="652" spans="1:4" s="495" customFormat="1" x14ac:dyDescent="0.25">
      <c r="A652" s="340">
        <v>2</v>
      </c>
      <c r="B652" s="350" t="s">
        <v>81</v>
      </c>
      <c r="C652" s="338" t="s">
        <v>1649</v>
      </c>
      <c r="D652" s="498"/>
    </row>
    <row r="653" spans="1:4" s="495" customFormat="1" x14ac:dyDescent="0.25">
      <c r="A653" s="340">
        <v>3</v>
      </c>
      <c r="B653" s="350" t="s">
        <v>53</v>
      </c>
      <c r="C653" s="338" t="s">
        <v>1650</v>
      </c>
      <c r="D653" s="498"/>
    </row>
    <row r="654" spans="1:4" s="495" customFormat="1" x14ac:dyDescent="0.25">
      <c r="A654" s="340">
        <v>4</v>
      </c>
      <c r="B654" s="350" t="s">
        <v>210</v>
      </c>
      <c r="C654" s="338" t="s">
        <v>1651</v>
      </c>
      <c r="D654" s="498"/>
    </row>
    <row r="655" spans="1:4" s="495" customFormat="1" x14ac:dyDescent="0.25">
      <c r="A655" s="340">
        <v>5</v>
      </c>
      <c r="B655" s="350" t="s">
        <v>94</v>
      </c>
      <c r="C655" s="338" t="s">
        <v>1652</v>
      </c>
      <c r="D655" s="498"/>
    </row>
    <row r="656" spans="1:4" s="495" customFormat="1" x14ac:dyDescent="0.25">
      <c r="A656" s="334">
        <v>7</v>
      </c>
      <c r="B656" s="350" t="s">
        <v>45</v>
      </c>
      <c r="C656" s="338" t="s">
        <v>1653</v>
      </c>
      <c r="D656" s="498"/>
    </row>
    <row r="657" spans="1:4" s="495" customFormat="1" x14ac:dyDescent="0.25">
      <c r="A657" s="334">
        <v>8</v>
      </c>
      <c r="B657" s="350" t="s">
        <v>253</v>
      </c>
      <c r="C657" s="338" t="s">
        <v>1536</v>
      </c>
      <c r="D657" s="563"/>
    </row>
    <row r="658" spans="1:4" s="495" customFormat="1" x14ac:dyDescent="0.25">
      <c r="A658" s="334">
        <v>9</v>
      </c>
      <c r="B658" s="350" t="s">
        <v>653</v>
      </c>
      <c r="C658" s="338" t="s">
        <v>1537</v>
      </c>
      <c r="D658" s="563"/>
    </row>
    <row r="659" spans="1:4" s="495" customFormat="1" x14ac:dyDescent="0.25">
      <c r="A659" s="340"/>
      <c r="B659" s="390" t="s">
        <v>560</v>
      </c>
      <c r="C659" s="453"/>
      <c r="D659" s="574"/>
    </row>
    <row r="660" spans="1:4" s="495" customFormat="1" x14ac:dyDescent="0.25">
      <c r="A660" s="340">
        <v>1</v>
      </c>
      <c r="B660" s="350" t="s">
        <v>266</v>
      </c>
      <c r="C660" s="338" t="s">
        <v>1538</v>
      </c>
      <c r="D660" s="562"/>
    </row>
    <row r="661" spans="1:4" s="495" customFormat="1" x14ac:dyDescent="0.25">
      <c r="A661" s="340">
        <v>2</v>
      </c>
      <c r="B661" s="350" t="s">
        <v>81</v>
      </c>
      <c r="C661" s="338" t="s">
        <v>1539</v>
      </c>
      <c r="D661" s="562"/>
    </row>
    <row r="662" spans="1:4" s="587" customFormat="1" ht="26.25" x14ac:dyDescent="0.25">
      <c r="A662" s="481"/>
      <c r="B662" s="473" t="s">
        <v>281</v>
      </c>
      <c r="C662" s="471" t="s">
        <v>1337</v>
      </c>
      <c r="D662" s="608" t="s">
        <v>1798</v>
      </c>
    </row>
    <row r="663" spans="1:4" s="495" customFormat="1" x14ac:dyDescent="0.25">
      <c r="A663" s="340">
        <v>3</v>
      </c>
      <c r="B663" s="350" t="s">
        <v>53</v>
      </c>
      <c r="C663" s="338" t="s">
        <v>1540</v>
      </c>
      <c r="D663" s="562"/>
    </row>
    <row r="664" spans="1:4" s="495" customFormat="1" x14ac:dyDescent="0.25">
      <c r="A664" s="340">
        <v>4</v>
      </c>
      <c r="B664" s="350" t="s">
        <v>210</v>
      </c>
      <c r="C664" s="338" t="s">
        <v>1541</v>
      </c>
      <c r="D664" s="562"/>
    </row>
    <row r="665" spans="1:4" s="495" customFormat="1" x14ac:dyDescent="0.25">
      <c r="A665" s="340">
        <v>5</v>
      </c>
      <c r="B665" s="350" t="s">
        <v>94</v>
      </c>
      <c r="C665" s="338" t="s">
        <v>1542</v>
      </c>
      <c r="D665" s="562"/>
    </row>
    <row r="666" spans="1:4" s="587" customFormat="1" ht="26.25" x14ac:dyDescent="0.25">
      <c r="A666" s="481"/>
      <c r="B666" s="473" t="s">
        <v>1654</v>
      </c>
      <c r="C666" s="471" t="s">
        <v>1337</v>
      </c>
      <c r="D666" s="471" t="s">
        <v>2080</v>
      </c>
    </row>
    <row r="667" spans="1:4" s="495" customFormat="1" x14ac:dyDescent="0.25">
      <c r="A667" s="340">
        <v>7</v>
      </c>
      <c r="B667" s="350" t="s">
        <v>45</v>
      </c>
      <c r="C667" s="338" t="s">
        <v>1543</v>
      </c>
      <c r="D667" s="498"/>
    </row>
    <row r="668" spans="1:4" s="587" customFormat="1" ht="26.25" x14ac:dyDescent="0.25">
      <c r="A668" s="472">
        <v>8</v>
      </c>
      <c r="B668" s="473" t="s">
        <v>44</v>
      </c>
      <c r="C668" s="609" t="s">
        <v>1337</v>
      </c>
      <c r="D668" s="596" t="s">
        <v>1799</v>
      </c>
    </row>
    <row r="669" spans="1:4" s="495" customFormat="1" x14ac:dyDescent="0.25">
      <c r="A669" s="334">
        <v>9</v>
      </c>
      <c r="B669" s="350" t="s">
        <v>653</v>
      </c>
      <c r="C669" s="338" t="s">
        <v>1544</v>
      </c>
      <c r="D669" s="563"/>
    </row>
    <row r="670" spans="1:4" s="495" customFormat="1" x14ac:dyDescent="0.25">
      <c r="A670" s="340">
        <v>10</v>
      </c>
      <c r="B670" s="350" t="s">
        <v>269</v>
      </c>
      <c r="C670" s="338" t="s">
        <v>1545</v>
      </c>
      <c r="D670" s="566"/>
    </row>
    <row r="671" spans="1:4" s="495" customFormat="1" x14ac:dyDescent="0.25">
      <c r="A671" s="340">
        <v>11</v>
      </c>
      <c r="B671" s="350" t="s">
        <v>189</v>
      </c>
      <c r="C671" s="338" t="s">
        <v>1546</v>
      </c>
      <c r="D671" s="566"/>
    </row>
    <row r="672" spans="1:4" s="495" customFormat="1" x14ac:dyDescent="0.25">
      <c r="A672" s="340"/>
      <c r="B672" s="351" t="s">
        <v>601</v>
      </c>
      <c r="C672" s="385"/>
      <c r="D672" s="498"/>
    </row>
    <row r="673" spans="1:4" s="495" customFormat="1" x14ac:dyDescent="0.25">
      <c r="A673" s="340">
        <v>1</v>
      </c>
      <c r="B673" s="350" t="s">
        <v>266</v>
      </c>
      <c r="C673" s="338" t="s">
        <v>1655</v>
      </c>
      <c r="D673" s="498"/>
    </row>
    <row r="674" spans="1:4" s="495" customFormat="1" x14ac:dyDescent="0.25">
      <c r="A674" s="340">
        <v>2</v>
      </c>
      <c r="B674" s="350" t="s">
        <v>81</v>
      </c>
      <c r="C674" s="338" t="s">
        <v>1656</v>
      </c>
      <c r="D674" s="498"/>
    </row>
    <row r="675" spans="1:4" s="495" customFormat="1" x14ac:dyDescent="0.25">
      <c r="A675" s="340">
        <v>3</v>
      </c>
      <c r="B675" s="350" t="s">
        <v>53</v>
      </c>
      <c r="C675" s="338" t="s">
        <v>1657</v>
      </c>
      <c r="D675" s="498"/>
    </row>
    <row r="676" spans="1:4" s="495" customFormat="1" x14ac:dyDescent="0.25">
      <c r="A676" s="340">
        <v>4</v>
      </c>
      <c r="B676" s="350" t="s">
        <v>210</v>
      </c>
      <c r="C676" s="338" t="s">
        <v>1658</v>
      </c>
      <c r="D676" s="498"/>
    </row>
    <row r="677" spans="1:4" s="495" customFormat="1" x14ac:dyDescent="0.25">
      <c r="A677" s="340">
        <v>5</v>
      </c>
      <c r="B677" s="350" t="s">
        <v>94</v>
      </c>
      <c r="C677" s="338" t="s">
        <v>1659</v>
      </c>
      <c r="D677" s="498"/>
    </row>
    <row r="678" spans="1:4" s="495" customFormat="1" x14ac:dyDescent="0.25">
      <c r="A678" s="340">
        <v>7</v>
      </c>
      <c r="B678" s="350" t="s">
        <v>45</v>
      </c>
      <c r="C678" s="338" t="s">
        <v>1660</v>
      </c>
      <c r="D678" s="498"/>
    </row>
    <row r="679" spans="1:4" s="495" customFormat="1" x14ac:dyDescent="0.25">
      <c r="A679" s="340">
        <v>8</v>
      </c>
      <c r="B679" s="350" t="s">
        <v>253</v>
      </c>
      <c r="C679" s="338" t="s">
        <v>1536</v>
      </c>
      <c r="D679" s="563"/>
    </row>
    <row r="680" spans="1:4" s="495" customFormat="1" x14ac:dyDescent="0.25">
      <c r="A680" s="340">
        <v>9</v>
      </c>
      <c r="B680" s="350" t="s">
        <v>653</v>
      </c>
      <c r="C680" s="338" t="s">
        <v>1537</v>
      </c>
      <c r="D680" s="563"/>
    </row>
    <row r="681" spans="1:4" s="495" customFormat="1" x14ac:dyDescent="0.25">
      <c r="A681" s="340"/>
      <c r="B681" s="351" t="s">
        <v>270</v>
      </c>
      <c r="C681" s="385"/>
      <c r="D681" s="498"/>
    </row>
    <row r="682" spans="1:4" s="495" customFormat="1" x14ac:dyDescent="0.25">
      <c r="A682" s="340">
        <v>1</v>
      </c>
      <c r="B682" s="335" t="s">
        <v>271</v>
      </c>
      <c r="C682" s="338" t="s">
        <v>2039</v>
      </c>
      <c r="D682" s="498"/>
    </row>
    <row r="683" spans="1:4" s="495" customFormat="1" x14ac:dyDescent="0.25">
      <c r="A683" s="340">
        <v>2</v>
      </c>
      <c r="B683" s="335" t="s">
        <v>272</v>
      </c>
      <c r="C683" s="338" t="s">
        <v>2040</v>
      </c>
      <c r="D683" s="498"/>
    </row>
    <row r="684" spans="1:4" s="495" customFormat="1" x14ac:dyDescent="0.25">
      <c r="A684" s="340">
        <v>3</v>
      </c>
      <c r="B684" s="335" t="s">
        <v>273</v>
      </c>
      <c r="C684" s="338" t="s">
        <v>2041</v>
      </c>
      <c r="D684" s="498"/>
    </row>
    <row r="685" spans="1:4" s="495" customFormat="1" x14ac:dyDescent="0.25">
      <c r="A685" s="340">
        <v>4</v>
      </c>
      <c r="B685" s="335" t="s">
        <v>274</v>
      </c>
      <c r="C685" s="338" t="s">
        <v>2042</v>
      </c>
      <c r="D685" s="498"/>
    </row>
    <row r="686" spans="1:4" s="495" customFormat="1" x14ac:dyDescent="0.25">
      <c r="A686" s="340">
        <v>5</v>
      </c>
      <c r="B686" s="335" t="s">
        <v>275</v>
      </c>
      <c r="C686" s="338" t="s">
        <v>2043</v>
      </c>
      <c r="D686" s="498"/>
    </row>
    <row r="687" spans="1:4" s="495" customFormat="1" x14ac:dyDescent="0.25">
      <c r="A687" s="334">
        <v>7</v>
      </c>
      <c r="B687" s="335" t="s">
        <v>45</v>
      </c>
      <c r="C687" s="338" t="s">
        <v>2044</v>
      </c>
      <c r="D687" s="498"/>
    </row>
    <row r="688" spans="1:4" s="495" customFormat="1" x14ac:dyDescent="0.25">
      <c r="A688" s="334">
        <v>8</v>
      </c>
      <c r="B688" s="350" t="s">
        <v>253</v>
      </c>
      <c r="C688" s="338" t="s">
        <v>2045</v>
      </c>
      <c r="D688" s="563"/>
    </row>
    <row r="689" spans="1:4" s="495" customFormat="1" x14ac:dyDescent="0.25">
      <c r="A689" s="334">
        <v>9</v>
      </c>
      <c r="B689" s="350" t="s">
        <v>653</v>
      </c>
      <c r="C689" s="338" t="s">
        <v>2046</v>
      </c>
      <c r="D689" s="563"/>
    </row>
    <row r="690" spans="1:4" s="495" customFormat="1" x14ac:dyDescent="0.25">
      <c r="A690" s="334"/>
      <c r="B690" s="368" t="s">
        <v>278</v>
      </c>
      <c r="C690" s="385"/>
      <c r="D690" s="498"/>
    </row>
    <row r="691" spans="1:4" s="495" customFormat="1" x14ac:dyDescent="0.25">
      <c r="A691" s="340">
        <v>1</v>
      </c>
      <c r="B691" s="339" t="s">
        <v>279</v>
      </c>
      <c r="C691" s="338" t="s">
        <v>2047</v>
      </c>
      <c r="D691" s="575" t="s">
        <v>1855</v>
      </c>
    </row>
    <row r="692" spans="1:4" s="495" customFormat="1" x14ac:dyDescent="0.25">
      <c r="A692" s="334">
        <v>2</v>
      </c>
      <c r="B692" s="335" t="s">
        <v>281</v>
      </c>
      <c r="C692" s="338" t="s">
        <v>1266</v>
      </c>
      <c r="D692" s="575" t="s">
        <v>1855</v>
      </c>
    </row>
    <row r="693" spans="1:4" s="495" customFormat="1" x14ac:dyDescent="0.25">
      <c r="A693" s="334">
        <v>3</v>
      </c>
      <c r="B693" s="335" t="s">
        <v>280</v>
      </c>
      <c r="C693" s="338" t="s">
        <v>2048</v>
      </c>
      <c r="D693" s="575" t="s">
        <v>1855</v>
      </c>
    </row>
    <row r="694" spans="1:4" s="495" customFormat="1" x14ac:dyDescent="0.25">
      <c r="A694" s="340">
        <v>4</v>
      </c>
      <c r="B694" s="335" t="s">
        <v>282</v>
      </c>
      <c r="C694" s="338" t="s">
        <v>2049</v>
      </c>
      <c r="D694" s="575" t="s">
        <v>1855</v>
      </c>
    </row>
    <row r="695" spans="1:4" s="495" customFormat="1" x14ac:dyDescent="0.25">
      <c r="A695" s="340">
        <v>5</v>
      </c>
      <c r="B695" s="335" t="s">
        <v>283</v>
      </c>
      <c r="C695" s="338" t="s">
        <v>2050</v>
      </c>
      <c r="D695" s="575" t="s">
        <v>1855</v>
      </c>
    </row>
    <row r="696" spans="1:4" s="495" customFormat="1" x14ac:dyDescent="0.25">
      <c r="A696" s="340">
        <v>6</v>
      </c>
      <c r="B696" s="335" t="s">
        <v>45</v>
      </c>
      <c r="C696" s="338" t="s">
        <v>2051</v>
      </c>
      <c r="D696" s="498"/>
    </row>
    <row r="697" spans="1:4" s="495" customFormat="1" x14ac:dyDescent="0.25">
      <c r="A697" s="340">
        <v>7</v>
      </c>
      <c r="B697" s="350" t="s">
        <v>653</v>
      </c>
      <c r="C697" s="338" t="s">
        <v>2052</v>
      </c>
      <c r="D697" s="498"/>
    </row>
    <row r="698" spans="1:4" s="495" customFormat="1" x14ac:dyDescent="0.25">
      <c r="A698" s="334"/>
      <c r="B698" s="351" t="s">
        <v>286</v>
      </c>
      <c r="C698" s="453"/>
      <c r="D698" s="498"/>
    </row>
    <row r="699" spans="1:4" s="495" customFormat="1" x14ac:dyDescent="0.25">
      <c r="A699" s="334">
        <v>1</v>
      </c>
      <c r="B699" s="350" t="s">
        <v>287</v>
      </c>
      <c r="C699" s="338" t="s">
        <v>2224</v>
      </c>
      <c r="D699" s="568"/>
    </row>
    <row r="700" spans="1:4" s="495" customFormat="1" x14ac:dyDescent="0.25">
      <c r="A700" s="334">
        <v>2</v>
      </c>
      <c r="B700" s="350" t="s">
        <v>288</v>
      </c>
      <c r="C700" s="338" t="s">
        <v>2225</v>
      </c>
      <c r="D700" s="568"/>
    </row>
    <row r="701" spans="1:4" s="495" customFormat="1" x14ac:dyDescent="0.25">
      <c r="A701" s="334">
        <v>3</v>
      </c>
      <c r="B701" s="350" t="s">
        <v>53</v>
      </c>
      <c r="C701" s="338" t="s">
        <v>2226</v>
      </c>
      <c r="D701" s="568"/>
    </row>
    <row r="702" spans="1:4" s="495" customFormat="1" x14ac:dyDescent="0.25">
      <c r="A702" s="334">
        <v>4</v>
      </c>
      <c r="B702" s="349" t="s">
        <v>215</v>
      </c>
      <c r="C702" s="338" t="s">
        <v>2228</v>
      </c>
      <c r="D702" s="568"/>
    </row>
    <row r="703" spans="1:4" s="495" customFormat="1" x14ac:dyDescent="0.25">
      <c r="A703" s="334">
        <v>6</v>
      </c>
      <c r="B703" s="335" t="s">
        <v>45</v>
      </c>
      <c r="C703" s="338" t="s">
        <v>2230</v>
      </c>
      <c r="D703" s="568"/>
    </row>
    <row r="704" spans="1:4" s="495" customFormat="1" x14ac:dyDescent="0.25">
      <c r="A704" s="340">
        <v>7</v>
      </c>
      <c r="B704" s="350" t="s">
        <v>253</v>
      </c>
      <c r="C704" s="338" t="s">
        <v>2229</v>
      </c>
      <c r="D704" s="568"/>
    </row>
    <row r="705" spans="1:4" s="495" customFormat="1" x14ac:dyDescent="0.25">
      <c r="A705" s="340"/>
      <c r="B705" s="350" t="s">
        <v>64</v>
      </c>
      <c r="C705" s="338" t="s">
        <v>2227</v>
      </c>
      <c r="D705" s="568"/>
    </row>
    <row r="706" spans="1:4" s="495" customFormat="1" x14ac:dyDescent="0.25">
      <c r="A706" s="370"/>
      <c r="B706" s="354" t="s">
        <v>1149</v>
      </c>
      <c r="C706" s="453"/>
      <c r="D706" s="498"/>
    </row>
    <row r="707" spans="1:4" s="495" customFormat="1" x14ac:dyDescent="0.25">
      <c r="A707" s="340" t="s">
        <v>61</v>
      </c>
      <c r="B707" s="349" t="s">
        <v>293</v>
      </c>
      <c r="C707" s="338" t="s">
        <v>1278</v>
      </c>
      <c r="D707" s="498"/>
    </row>
    <row r="708" spans="1:4" s="495" customFormat="1" x14ac:dyDescent="0.25">
      <c r="A708" s="340" t="s">
        <v>63</v>
      </c>
      <c r="B708" s="350" t="s">
        <v>294</v>
      </c>
      <c r="C708" s="338" t="s">
        <v>1279</v>
      </c>
      <c r="D708" s="498"/>
    </row>
    <row r="709" spans="1:4" s="495" customFormat="1" x14ac:dyDescent="0.25">
      <c r="A709" s="340">
        <v>3</v>
      </c>
      <c r="B709" s="350" t="s">
        <v>53</v>
      </c>
      <c r="C709" s="338" t="s">
        <v>1280</v>
      </c>
      <c r="D709" s="498"/>
    </row>
    <row r="710" spans="1:4" s="495" customFormat="1" x14ac:dyDescent="0.25">
      <c r="A710" s="340">
        <v>4</v>
      </c>
      <c r="B710" s="350" t="s">
        <v>234</v>
      </c>
      <c r="C710" s="338" t="s">
        <v>1281</v>
      </c>
      <c r="D710" s="498"/>
    </row>
    <row r="711" spans="1:4" s="495" customFormat="1" x14ac:dyDescent="0.25">
      <c r="A711" s="340">
        <v>5</v>
      </c>
      <c r="B711" s="350" t="s">
        <v>44</v>
      </c>
      <c r="C711" s="338" t="s">
        <v>1282</v>
      </c>
      <c r="D711" s="498"/>
    </row>
    <row r="712" spans="1:4" s="495" customFormat="1" x14ac:dyDescent="0.25">
      <c r="A712" s="340">
        <v>6</v>
      </c>
      <c r="B712" s="350" t="s">
        <v>45</v>
      </c>
      <c r="C712" s="338" t="s">
        <v>1283</v>
      </c>
      <c r="D712" s="498"/>
    </row>
    <row r="713" spans="1:4" s="495" customFormat="1" x14ac:dyDescent="0.25">
      <c r="A713" s="334"/>
      <c r="B713" s="371" t="s">
        <v>923</v>
      </c>
      <c r="C713" s="338"/>
      <c r="D713" s="498"/>
    </row>
    <row r="714" spans="1:4" s="495" customFormat="1" x14ac:dyDescent="0.25">
      <c r="A714" s="334">
        <v>8</v>
      </c>
      <c r="B714" s="350" t="s">
        <v>81</v>
      </c>
      <c r="C714" s="338" t="s">
        <v>1284</v>
      </c>
      <c r="D714" s="498"/>
    </row>
    <row r="715" spans="1:4" s="495" customFormat="1" x14ac:dyDescent="0.25">
      <c r="A715" s="334">
        <v>9</v>
      </c>
      <c r="B715" s="349" t="s">
        <v>295</v>
      </c>
      <c r="C715" s="338" t="s">
        <v>1285</v>
      </c>
      <c r="D715" s="498"/>
    </row>
    <row r="716" spans="1:4" s="495" customFormat="1" x14ac:dyDescent="0.25">
      <c r="A716" s="334">
        <v>10</v>
      </c>
      <c r="B716" s="349" t="s">
        <v>485</v>
      </c>
      <c r="C716" s="338" t="s">
        <v>1286</v>
      </c>
      <c r="D716" s="498"/>
    </row>
    <row r="717" spans="1:4" s="495" customFormat="1" x14ac:dyDescent="0.25">
      <c r="A717" s="334">
        <v>11</v>
      </c>
      <c r="B717" s="350" t="s">
        <v>45</v>
      </c>
      <c r="C717" s="338" t="s">
        <v>1287</v>
      </c>
      <c r="D717" s="498"/>
    </row>
    <row r="718" spans="1:4" s="495" customFormat="1" x14ac:dyDescent="0.25">
      <c r="A718" s="340"/>
      <c r="B718" s="351" t="s">
        <v>239</v>
      </c>
      <c r="C718" s="453"/>
      <c r="D718" s="498"/>
    </row>
    <row r="719" spans="1:4" s="495" customFormat="1" x14ac:dyDescent="0.25">
      <c r="A719" s="340">
        <v>1</v>
      </c>
      <c r="B719" s="350" t="s">
        <v>240</v>
      </c>
      <c r="C719" s="338" t="s">
        <v>1059</v>
      </c>
      <c r="D719" s="498"/>
    </row>
    <row r="720" spans="1:4" s="495" customFormat="1" x14ac:dyDescent="0.25">
      <c r="A720" s="340">
        <v>2</v>
      </c>
      <c r="B720" s="350" t="s">
        <v>595</v>
      </c>
      <c r="C720" s="338" t="s">
        <v>1060</v>
      </c>
      <c r="D720" s="498"/>
    </row>
    <row r="721" spans="1:4" s="495" customFormat="1" x14ac:dyDescent="0.25">
      <c r="A721" s="340">
        <v>3</v>
      </c>
      <c r="B721" s="350" t="s">
        <v>44</v>
      </c>
      <c r="C721" s="338" t="s">
        <v>1547</v>
      </c>
      <c r="D721" s="498"/>
    </row>
    <row r="722" spans="1:4" s="495" customFormat="1" x14ac:dyDescent="0.25">
      <c r="A722" s="334">
        <v>4</v>
      </c>
      <c r="B722" s="350" t="s">
        <v>45</v>
      </c>
      <c r="C722" s="338" t="s">
        <v>1061</v>
      </c>
      <c r="D722" s="498"/>
    </row>
    <row r="723" spans="1:4" s="495" customFormat="1" x14ac:dyDescent="0.25">
      <c r="A723" s="340"/>
      <c r="B723" s="351" t="s">
        <v>521</v>
      </c>
      <c r="C723" s="385"/>
      <c r="D723" s="497"/>
    </row>
    <row r="724" spans="1:4" s="495" customFormat="1" x14ac:dyDescent="0.25">
      <c r="A724" s="340">
        <v>1</v>
      </c>
      <c r="B724" s="349" t="s">
        <v>236</v>
      </c>
      <c r="C724" s="338" t="s">
        <v>1548</v>
      </c>
      <c r="D724" s="562"/>
    </row>
    <row r="725" spans="1:4" s="495" customFormat="1" x14ac:dyDescent="0.25">
      <c r="A725" s="340">
        <v>2</v>
      </c>
      <c r="B725" s="349" t="s">
        <v>81</v>
      </c>
      <c r="C725" s="338" t="s">
        <v>1550</v>
      </c>
      <c r="D725" s="562"/>
    </row>
    <row r="726" spans="1:4" s="495" customFormat="1" x14ac:dyDescent="0.25">
      <c r="A726" s="340">
        <v>3</v>
      </c>
      <c r="B726" s="350" t="s">
        <v>237</v>
      </c>
      <c r="C726" s="385" t="s">
        <v>1661</v>
      </c>
      <c r="D726" s="562"/>
    </row>
    <row r="727" spans="1:4" s="495" customFormat="1" x14ac:dyDescent="0.25">
      <c r="A727" s="340">
        <v>4</v>
      </c>
      <c r="B727" s="350" t="s">
        <v>32</v>
      </c>
      <c r="C727" s="338" t="s">
        <v>1549</v>
      </c>
      <c r="D727" s="497"/>
    </row>
    <row r="728" spans="1:4" s="495" customFormat="1" x14ac:dyDescent="0.25">
      <c r="A728" s="340">
        <v>5</v>
      </c>
      <c r="B728" s="350" t="s">
        <v>56</v>
      </c>
      <c r="C728" s="338" t="s">
        <v>1551</v>
      </c>
      <c r="D728" s="497"/>
    </row>
    <row r="729" spans="1:4" s="495" customFormat="1" x14ac:dyDescent="0.25">
      <c r="A729" s="340">
        <v>6</v>
      </c>
      <c r="B729" s="350" t="s">
        <v>90</v>
      </c>
      <c r="C729" s="338" t="s">
        <v>1552</v>
      </c>
      <c r="D729" s="562"/>
    </row>
    <row r="730" spans="1:4" s="495" customFormat="1" ht="14.25" customHeight="1" x14ac:dyDescent="0.25">
      <c r="A730" s="340">
        <v>7</v>
      </c>
      <c r="B730" s="350" t="s">
        <v>268</v>
      </c>
      <c r="C730" s="338" t="s">
        <v>1553</v>
      </c>
      <c r="D730" s="566"/>
    </row>
    <row r="731" spans="1:4" s="587" customFormat="1" ht="30" customHeight="1" x14ac:dyDescent="0.25">
      <c r="A731" s="481"/>
      <c r="B731" s="473" t="s">
        <v>1797</v>
      </c>
      <c r="C731" s="471" t="s">
        <v>1337</v>
      </c>
      <c r="D731" s="471" t="s">
        <v>2081</v>
      </c>
    </row>
    <row r="732" spans="1:4" s="495" customFormat="1" x14ac:dyDescent="0.25">
      <c r="A732" s="340">
        <v>8</v>
      </c>
      <c r="B732" s="350" t="s">
        <v>59</v>
      </c>
      <c r="C732" s="338" t="s">
        <v>1554</v>
      </c>
      <c r="D732" s="566"/>
    </row>
    <row r="733" spans="1:4" s="495" customFormat="1" x14ac:dyDescent="0.25">
      <c r="A733" s="340">
        <v>9</v>
      </c>
      <c r="B733" s="350" t="s">
        <v>53</v>
      </c>
      <c r="C733" s="385" t="s">
        <v>1662</v>
      </c>
      <c r="D733" s="566"/>
    </row>
    <row r="734" spans="1:4" s="495" customFormat="1" x14ac:dyDescent="0.25">
      <c r="A734" s="340">
        <v>10</v>
      </c>
      <c r="B734" s="350" t="s">
        <v>64</v>
      </c>
      <c r="C734" s="385" t="s">
        <v>1663</v>
      </c>
      <c r="D734" s="566"/>
    </row>
    <row r="735" spans="1:4" s="495" customFormat="1" ht="14.25" customHeight="1" x14ac:dyDescent="0.25">
      <c r="A735" s="340">
        <v>11</v>
      </c>
      <c r="B735" s="350" t="s">
        <v>94</v>
      </c>
      <c r="C735" s="338" t="s">
        <v>1555</v>
      </c>
      <c r="D735" s="562"/>
    </row>
    <row r="736" spans="1:4" s="587" customFormat="1" ht="38.25" x14ac:dyDescent="0.25">
      <c r="A736" s="481">
        <v>12</v>
      </c>
      <c r="B736" s="473" t="s">
        <v>96</v>
      </c>
      <c r="C736" s="599" t="s">
        <v>1337</v>
      </c>
      <c r="D736" s="607" t="s">
        <v>1397</v>
      </c>
    </row>
    <row r="737" spans="1:4" s="495" customFormat="1" x14ac:dyDescent="0.25">
      <c r="A737" s="340">
        <v>13</v>
      </c>
      <c r="B737" s="350" t="s">
        <v>297</v>
      </c>
      <c r="C737" s="338" t="s">
        <v>1556</v>
      </c>
      <c r="D737" s="566"/>
    </row>
    <row r="738" spans="1:4" s="495" customFormat="1" x14ac:dyDescent="0.25">
      <c r="A738" s="340">
        <v>15</v>
      </c>
      <c r="B738" s="350" t="s">
        <v>45</v>
      </c>
      <c r="C738" s="494" t="s">
        <v>1664</v>
      </c>
      <c r="D738" s="562"/>
    </row>
    <row r="739" spans="1:4" s="495" customFormat="1" x14ac:dyDescent="0.25">
      <c r="A739" s="340">
        <v>16</v>
      </c>
      <c r="B739" s="350" t="s">
        <v>253</v>
      </c>
      <c r="C739" s="338" t="s">
        <v>1557</v>
      </c>
      <c r="D739" s="563"/>
    </row>
    <row r="740" spans="1:4" s="495" customFormat="1" x14ac:dyDescent="0.25">
      <c r="A740" s="340">
        <v>17</v>
      </c>
      <c r="B740" s="350" t="s">
        <v>653</v>
      </c>
      <c r="C740" s="338" t="s">
        <v>1558</v>
      </c>
      <c r="D740" s="563"/>
    </row>
    <row r="741" spans="1:4" s="495" customFormat="1" x14ac:dyDescent="0.25">
      <c r="A741" s="340">
        <v>18</v>
      </c>
      <c r="B741" s="350" t="s">
        <v>269</v>
      </c>
      <c r="C741" s="338" t="s">
        <v>1559</v>
      </c>
      <c r="D741" s="566"/>
    </row>
    <row r="742" spans="1:4" s="495" customFormat="1" x14ac:dyDescent="0.25">
      <c r="A742" s="340">
        <v>19</v>
      </c>
      <c r="B742" s="350" t="s">
        <v>478</v>
      </c>
      <c r="C742" s="338" t="s">
        <v>1560</v>
      </c>
      <c r="D742" s="430"/>
    </row>
    <row r="743" spans="1:4" s="587" customFormat="1" ht="25.5" x14ac:dyDescent="0.25">
      <c r="A743" s="610">
        <v>20</v>
      </c>
      <c r="B743" s="473" t="s">
        <v>189</v>
      </c>
      <c r="C743" s="599" t="s">
        <v>1337</v>
      </c>
      <c r="D743" s="607" t="s">
        <v>1398</v>
      </c>
    </row>
    <row r="744" spans="1:4" s="495" customFormat="1" x14ac:dyDescent="0.25">
      <c r="A744" s="340"/>
      <c r="B744" s="351" t="s">
        <v>245</v>
      </c>
      <c r="C744" s="453"/>
      <c r="D744" s="498"/>
    </row>
    <row r="745" spans="1:4" s="495" customFormat="1" x14ac:dyDescent="0.25">
      <c r="A745" s="340">
        <v>1</v>
      </c>
      <c r="B745" s="335" t="s">
        <v>246</v>
      </c>
      <c r="C745" s="338" t="s">
        <v>2053</v>
      </c>
      <c r="D745" s="498"/>
    </row>
    <row r="746" spans="1:4" s="495" customFormat="1" x14ac:dyDescent="0.25">
      <c r="A746" s="340">
        <v>3</v>
      </c>
      <c r="B746" s="350" t="s">
        <v>653</v>
      </c>
      <c r="C746" s="338" t="s">
        <v>1561</v>
      </c>
      <c r="D746" s="498"/>
    </row>
    <row r="747" spans="1:4" s="495" customFormat="1" x14ac:dyDescent="0.25">
      <c r="A747" s="340"/>
      <c r="B747" s="354" t="s">
        <v>247</v>
      </c>
      <c r="C747" s="453"/>
      <c r="D747" s="498"/>
    </row>
    <row r="748" spans="1:4" s="495" customFormat="1" x14ac:dyDescent="0.25">
      <c r="A748" s="340">
        <v>1</v>
      </c>
      <c r="B748" s="349" t="s">
        <v>248</v>
      </c>
      <c r="C748" s="338" t="s">
        <v>2168</v>
      </c>
      <c r="D748" s="498"/>
    </row>
    <row r="749" spans="1:4" s="495" customFormat="1" x14ac:dyDescent="0.25">
      <c r="A749" s="340">
        <v>2</v>
      </c>
      <c r="B749" s="350" t="s">
        <v>249</v>
      </c>
      <c r="C749" s="338" t="s">
        <v>2169</v>
      </c>
      <c r="D749" s="498"/>
    </row>
    <row r="750" spans="1:4" s="495" customFormat="1" x14ac:dyDescent="0.25">
      <c r="A750" s="340">
        <v>3</v>
      </c>
      <c r="B750" s="350" t="s">
        <v>660</v>
      </c>
      <c r="C750" s="338" t="s">
        <v>1562</v>
      </c>
      <c r="D750" s="562"/>
    </row>
    <row r="751" spans="1:4" s="495" customFormat="1" x14ac:dyDescent="0.25">
      <c r="A751" s="340"/>
      <c r="B751" s="354" t="s">
        <v>98</v>
      </c>
      <c r="C751" s="338"/>
      <c r="D751" s="498"/>
    </row>
    <row r="752" spans="1:4" s="495" customFormat="1" x14ac:dyDescent="0.25">
      <c r="A752" s="340">
        <v>5</v>
      </c>
      <c r="B752" s="355" t="s">
        <v>100</v>
      </c>
      <c r="C752" s="338" t="s">
        <v>2170</v>
      </c>
      <c r="D752" s="498"/>
    </row>
    <row r="753" spans="1:4" s="495" customFormat="1" x14ac:dyDescent="0.25">
      <c r="A753" s="340">
        <v>6</v>
      </c>
      <c r="B753" s="355" t="s">
        <v>299</v>
      </c>
      <c r="C753" s="338" t="s">
        <v>2171</v>
      </c>
      <c r="D753" s="498"/>
    </row>
    <row r="754" spans="1:4" s="495" customFormat="1" x14ac:dyDescent="0.25">
      <c r="A754" s="340">
        <v>7</v>
      </c>
      <c r="B754" s="355" t="s">
        <v>253</v>
      </c>
      <c r="C754" s="338" t="s">
        <v>2172</v>
      </c>
      <c r="D754" s="498"/>
    </row>
    <row r="755" spans="1:4" s="495" customFormat="1" x14ac:dyDescent="0.25">
      <c r="A755" s="340">
        <v>8</v>
      </c>
      <c r="B755" s="350" t="s">
        <v>104</v>
      </c>
      <c r="C755" s="338" t="s">
        <v>2173</v>
      </c>
      <c r="D755" s="498"/>
    </row>
    <row r="756" spans="1:4" s="495" customFormat="1" x14ac:dyDescent="0.25">
      <c r="A756" s="340">
        <v>9</v>
      </c>
      <c r="B756" s="355" t="s">
        <v>105</v>
      </c>
      <c r="C756" s="338" t="s">
        <v>2174</v>
      </c>
      <c r="D756" s="498"/>
    </row>
    <row r="757" spans="1:4" s="495" customFormat="1" x14ac:dyDescent="0.25">
      <c r="A757" s="340">
        <v>11</v>
      </c>
      <c r="B757" s="355" t="s">
        <v>106</v>
      </c>
      <c r="C757" s="338" t="s">
        <v>2175</v>
      </c>
      <c r="D757" s="498"/>
    </row>
    <row r="758" spans="1:4" s="495" customFormat="1" x14ac:dyDescent="0.25">
      <c r="A758" s="340">
        <v>12</v>
      </c>
      <c r="B758" s="339" t="s">
        <v>664</v>
      </c>
      <c r="C758" s="385" t="s">
        <v>1193</v>
      </c>
      <c r="D758" s="498"/>
    </row>
    <row r="759" spans="1:4" s="495" customFormat="1" x14ac:dyDescent="0.25">
      <c r="A759" s="340">
        <v>13</v>
      </c>
      <c r="B759" s="355" t="s">
        <v>108</v>
      </c>
      <c r="C759" s="338" t="s">
        <v>2176</v>
      </c>
      <c r="D759" s="498"/>
    </row>
    <row r="760" spans="1:4" s="495" customFormat="1" x14ac:dyDescent="0.25">
      <c r="A760" s="340"/>
      <c r="B760" s="390" t="s">
        <v>534</v>
      </c>
      <c r="C760" s="453"/>
      <c r="D760" s="498"/>
    </row>
    <row r="761" spans="1:4" s="587" customFormat="1" ht="26.25" x14ac:dyDescent="0.25">
      <c r="A761" s="481">
        <v>13</v>
      </c>
      <c r="B761" s="473" t="s">
        <v>257</v>
      </c>
      <c r="C761" s="599" t="s">
        <v>1337</v>
      </c>
      <c r="D761" s="608" t="s">
        <v>1387</v>
      </c>
    </row>
    <row r="762" spans="1:4" s="587" customFormat="1" x14ac:dyDescent="0.25">
      <c r="A762" s="481">
        <v>14</v>
      </c>
      <c r="B762" s="611" t="s">
        <v>259</v>
      </c>
      <c r="C762" s="599" t="s">
        <v>1337</v>
      </c>
      <c r="D762" s="608" t="s">
        <v>1385</v>
      </c>
    </row>
    <row r="763" spans="1:4" s="587" customFormat="1" ht="26.25" x14ac:dyDescent="0.25">
      <c r="A763" s="481">
        <v>15</v>
      </c>
      <c r="B763" s="611" t="s">
        <v>260</v>
      </c>
      <c r="C763" s="599" t="s">
        <v>1337</v>
      </c>
      <c r="D763" s="608" t="s">
        <v>1388</v>
      </c>
    </row>
    <row r="764" spans="1:4" s="587" customFormat="1" ht="26.25" x14ac:dyDescent="0.25">
      <c r="A764" s="481">
        <v>1</v>
      </c>
      <c r="B764" s="612" t="s">
        <v>487</v>
      </c>
      <c r="C764" s="613" t="s">
        <v>1337</v>
      </c>
      <c r="D764" s="596" t="s">
        <v>1399</v>
      </c>
    </row>
    <row r="765" spans="1:4" s="495" customFormat="1" ht="18.75" x14ac:dyDescent="0.3">
      <c r="A765" s="334"/>
      <c r="B765" s="389" t="s">
        <v>607</v>
      </c>
      <c r="C765" s="449"/>
      <c r="D765" s="498"/>
    </row>
    <row r="766" spans="1:4" s="495" customFormat="1" x14ac:dyDescent="0.25">
      <c r="A766" s="334"/>
      <c r="B766" s="363" t="s">
        <v>15</v>
      </c>
      <c r="C766" s="449"/>
      <c r="D766" s="498"/>
    </row>
    <row r="767" spans="1:4" s="495" customFormat="1" x14ac:dyDescent="0.25">
      <c r="A767" s="334">
        <v>1</v>
      </c>
      <c r="B767" s="350" t="s">
        <v>263</v>
      </c>
      <c r="C767" s="338" t="s">
        <v>1563</v>
      </c>
      <c r="D767" s="562"/>
    </row>
    <row r="768" spans="1:4" s="495" customFormat="1" x14ac:dyDescent="0.25">
      <c r="A768" s="334">
        <v>2</v>
      </c>
      <c r="B768" s="349" t="s">
        <v>207</v>
      </c>
      <c r="C768" s="338" t="s">
        <v>1564</v>
      </c>
      <c r="D768" s="562"/>
    </row>
    <row r="769" spans="1:4" s="495" customFormat="1" x14ac:dyDescent="0.25">
      <c r="A769" s="334">
        <v>3</v>
      </c>
      <c r="B769" s="349" t="s">
        <v>206</v>
      </c>
      <c r="C769" s="338" t="s">
        <v>1565</v>
      </c>
      <c r="D769" s="562"/>
    </row>
    <row r="770" spans="1:4" s="495" customFormat="1" x14ac:dyDescent="0.25">
      <c r="A770" s="334">
        <v>4</v>
      </c>
      <c r="B770" s="349" t="s">
        <v>81</v>
      </c>
      <c r="C770" s="338" t="s">
        <v>1390</v>
      </c>
      <c r="D770" s="576"/>
    </row>
    <row r="771" spans="1:4" s="495" customFormat="1" x14ac:dyDescent="0.25">
      <c r="A771" s="340">
        <v>5</v>
      </c>
      <c r="B771" s="353" t="s">
        <v>43</v>
      </c>
      <c r="C771" s="338" t="s">
        <v>1566</v>
      </c>
      <c r="D771" s="562"/>
    </row>
    <row r="772" spans="1:4" s="495" customFormat="1" x14ac:dyDescent="0.25">
      <c r="A772" s="334"/>
      <c r="B772" s="351" t="s">
        <v>46</v>
      </c>
      <c r="C772" s="453"/>
      <c r="D772" s="577"/>
    </row>
    <row r="773" spans="1:4" s="495" customFormat="1" x14ac:dyDescent="0.25">
      <c r="A773" s="334">
        <v>1</v>
      </c>
      <c r="B773" s="339" t="s">
        <v>24</v>
      </c>
      <c r="C773" s="338" t="s">
        <v>1567</v>
      </c>
      <c r="D773" s="562"/>
    </row>
    <row r="774" spans="1:4" s="495" customFormat="1" x14ac:dyDescent="0.25">
      <c r="A774" s="334">
        <v>2</v>
      </c>
      <c r="B774" s="335" t="s">
        <v>35</v>
      </c>
      <c r="C774" s="338" t="s">
        <v>1568</v>
      </c>
      <c r="D774" s="562"/>
    </row>
    <row r="775" spans="1:4" s="495" customFormat="1" x14ac:dyDescent="0.25">
      <c r="A775" s="340"/>
      <c r="B775" s="374" t="s">
        <v>956</v>
      </c>
      <c r="C775" s="456"/>
      <c r="D775" s="498"/>
    </row>
    <row r="776" spans="1:4" s="495" customFormat="1" x14ac:dyDescent="0.25">
      <c r="A776" s="340">
        <v>1</v>
      </c>
      <c r="B776" s="350" t="s">
        <v>209</v>
      </c>
      <c r="C776" s="338" t="s">
        <v>2288</v>
      </c>
      <c r="D776" s="498"/>
    </row>
    <row r="777" spans="1:4" s="495" customFormat="1" x14ac:dyDescent="0.25">
      <c r="A777" s="334">
        <v>2</v>
      </c>
      <c r="B777" s="350" t="s">
        <v>32</v>
      </c>
      <c r="C777" s="338" t="s">
        <v>2291</v>
      </c>
      <c r="D777" s="498"/>
    </row>
    <row r="778" spans="1:4" s="495" customFormat="1" x14ac:dyDescent="0.25">
      <c r="A778" s="340">
        <v>3</v>
      </c>
      <c r="B778" s="350" t="s">
        <v>145</v>
      </c>
      <c r="C778" s="338" t="s">
        <v>1569</v>
      </c>
      <c r="D778" s="562"/>
    </row>
    <row r="779" spans="1:4" s="495" customFormat="1" x14ac:dyDescent="0.25">
      <c r="A779" s="340">
        <v>4</v>
      </c>
      <c r="B779" s="350" t="s">
        <v>56</v>
      </c>
      <c r="C779" s="338" t="s">
        <v>2290</v>
      </c>
      <c r="D779" s="498"/>
    </row>
    <row r="780" spans="1:4" s="495" customFormat="1" x14ac:dyDescent="0.25">
      <c r="A780" s="340">
        <v>5</v>
      </c>
      <c r="B780" s="350" t="s">
        <v>147</v>
      </c>
      <c r="C780" s="338" t="s">
        <v>2289</v>
      </c>
      <c r="D780" s="498"/>
    </row>
    <row r="781" spans="1:4" s="495" customFormat="1" x14ac:dyDescent="0.25">
      <c r="A781" s="334">
        <v>6</v>
      </c>
      <c r="B781" s="350" t="s">
        <v>53</v>
      </c>
      <c r="C781" s="338" t="s">
        <v>962</v>
      </c>
      <c r="D781" s="498"/>
    </row>
    <row r="782" spans="1:4" s="495" customFormat="1" x14ac:dyDescent="0.25">
      <c r="A782" s="340">
        <v>7</v>
      </c>
      <c r="B782" s="350" t="s">
        <v>210</v>
      </c>
      <c r="C782" s="338" t="s">
        <v>2292</v>
      </c>
      <c r="D782" s="498"/>
    </row>
    <row r="783" spans="1:4" s="495" customFormat="1" x14ac:dyDescent="0.25">
      <c r="A783" s="340">
        <v>8</v>
      </c>
      <c r="B783" s="350" t="s">
        <v>94</v>
      </c>
      <c r="C783" s="338" t="s">
        <v>964</v>
      </c>
      <c r="D783" s="498"/>
    </row>
    <row r="784" spans="1:4" s="495" customFormat="1" x14ac:dyDescent="0.25">
      <c r="A784" s="340">
        <v>10</v>
      </c>
      <c r="B784" s="350" t="s">
        <v>45</v>
      </c>
      <c r="C784" s="338" t="s">
        <v>2293</v>
      </c>
      <c r="D784" s="498"/>
    </row>
    <row r="785" spans="1:4" s="495" customFormat="1" x14ac:dyDescent="0.25">
      <c r="A785" s="340">
        <v>11</v>
      </c>
      <c r="B785" s="350" t="s">
        <v>253</v>
      </c>
      <c r="C785" s="338" t="s">
        <v>1570</v>
      </c>
      <c r="D785" s="563"/>
    </row>
    <row r="786" spans="1:4" s="495" customFormat="1" x14ac:dyDescent="0.25">
      <c r="A786" s="340">
        <v>12</v>
      </c>
      <c r="B786" s="350" t="s">
        <v>653</v>
      </c>
      <c r="C786" s="338" t="s">
        <v>2294</v>
      </c>
      <c r="D786" s="563"/>
    </row>
    <row r="787" spans="1:4" s="495" customFormat="1" x14ac:dyDescent="0.25">
      <c r="A787" s="340"/>
      <c r="B787" s="392" t="s">
        <v>610</v>
      </c>
      <c r="C787" s="453"/>
      <c r="D787" s="498"/>
    </row>
    <row r="788" spans="1:4" s="495" customFormat="1" x14ac:dyDescent="0.25">
      <c r="A788" s="340">
        <v>1</v>
      </c>
      <c r="B788" s="349" t="s">
        <v>301</v>
      </c>
      <c r="C788" s="338" t="s">
        <v>2281</v>
      </c>
      <c r="D788" s="498"/>
    </row>
    <row r="789" spans="1:4" s="495" customFormat="1" x14ac:dyDescent="0.25">
      <c r="A789" s="340">
        <v>2</v>
      </c>
      <c r="B789" s="350" t="s">
        <v>302</v>
      </c>
      <c r="C789" s="338" t="s">
        <v>2282</v>
      </c>
      <c r="D789" s="498"/>
    </row>
    <row r="790" spans="1:4" s="495" customFormat="1" x14ac:dyDescent="0.25">
      <c r="A790" s="340">
        <v>3</v>
      </c>
      <c r="B790" s="350" t="s">
        <v>303</v>
      </c>
      <c r="C790" s="338" t="s">
        <v>1077</v>
      </c>
      <c r="D790" s="568"/>
    </row>
    <row r="791" spans="1:4" s="495" customFormat="1" x14ac:dyDescent="0.25">
      <c r="A791" s="334">
        <v>4</v>
      </c>
      <c r="B791" s="350" t="s">
        <v>53</v>
      </c>
      <c r="C791" s="338" t="s">
        <v>2283</v>
      </c>
      <c r="D791" s="498"/>
    </row>
    <row r="792" spans="1:4" s="495" customFormat="1" x14ac:dyDescent="0.25">
      <c r="A792" s="340">
        <v>5</v>
      </c>
      <c r="B792" s="350" t="s">
        <v>210</v>
      </c>
      <c r="C792" s="338" t="s">
        <v>2284</v>
      </c>
      <c r="D792" s="498"/>
    </row>
    <row r="793" spans="1:4" s="495" customFormat="1" x14ac:dyDescent="0.25">
      <c r="A793" s="340">
        <v>6</v>
      </c>
      <c r="B793" s="350" t="s">
        <v>94</v>
      </c>
      <c r="C793" s="338" t="s">
        <v>1080</v>
      </c>
      <c r="D793" s="498"/>
    </row>
    <row r="794" spans="1:4" s="495" customFormat="1" x14ac:dyDescent="0.25">
      <c r="A794" s="340">
        <v>7</v>
      </c>
      <c r="B794" s="350" t="s">
        <v>213</v>
      </c>
      <c r="C794" s="338" t="s">
        <v>2285</v>
      </c>
      <c r="D794" s="498"/>
    </row>
    <row r="795" spans="1:4" s="495" customFormat="1" x14ac:dyDescent="0.25">
      <c r="A795" s="340">
        <v>9</v>
      </c>
      <c r="B795" s="350" t="s">
        <v>45</v>
      </c>
      <c r="C795" s="338" t="s">
        <v>1083</v>
      </c>
      <c r="D795" s="498"/>
    </row>
    <row r="796" spans="1:4" s="495" customFormat="1" x14ac:dyDescent="0.25">
      <c r="A796" s="340">
        <v>10</v>
      </c>
      <c r="B796" s="350" t="s">
        <v>253</v>
      </c>
      <c r="C796" s="338" t="s">
        <v>2286</v>
      </c>
      <c r="D796" s="563"/>
    </row>
    <row r="797" spans="1:4" s="495" customFormat="1" x14ac:dyDescent="0.25">
      <c r="A797" s="340">
        <v>11</v>
      </c>
      <c r="B797" s="350" t="s">
        <v>653</v>
      </c>
      <c r="C797" s="338" t="s">
        <v>2287</v>
      </c>
      <c r="D797" s="563"/>
    </row>
    <row r="798" spans="1:4" s="495" customFormat="1" x14ac:dyDescent="0.25">
      <c r="A798" s="340"/>
      <c r="B798" s="539" t="s">
        <v>1681</v>
      </c>
      <c r="C798" s="338"/>
      <c r="D798" s="563"/>
    </row>
    <row r="799" spans="1:4" s="587" customFormat="1" x14ac:dyDescent="0.25">
      <c r="A799" s="481"/>
      <c r="B799" s="473" t="s">
        <v>1800</v>
      </c>
      <c r="C799" s="471" t="s">
        <v>1337</v>
      </c>
      <c r="D799" s="596" t="s">
        <v>2082</v>
      </c>
    </row>
    <row r="800" spans="1:4" s="587" customFormat="1" ht="26.25" x14ac:dyDescent="0.25">
      <c r="A800" s="481"/>
      <c r="B800" s="473" t="s">
        <v>1680</v>
      </c>
      <c r="C800" s="471" t="s">
        <v>1337</v>
      </c>
      <c r="D800" s="596" t="s">
        <v>2089</v>
      </c>
    </row>
    <row r="801" spans="1:4" s="587" customFormat="1" x14ac:dyDescent="0.25">
      <c r="A801" s="481"/>
      <c r="B801" s="473" t="s">
        <v>53</v>
      </c>
      <c r="C801" s="471" t="s">
        <v>1337</v>
      </c>
      <c r="D801" s="596" t="s">
        <v>2083</v>
      </c>
    </row>
    <row r="802" spans="1:4" s="587" customFormat="1" ht="26.25" x14ac:dyDescent="0.25">
      <c r="A802" s="481"/>
      <c r="B802" s="473" t="s">
        <v>210</v>
      </c>
      <c r="C802" s="471" t="s">
        <v>1337</v>
      </c>
      <c r="D802" s="596" t="s">
        <v>2084</v>
      </c>
    </row>
    <row r="803" spans="1:4" s="587" customFormat="1" ht="26.25" x14ac:dyDescent="0.25">
      <c r="A803" s="481"/>
      <c r="B803" s="473" t="s">
        <v>94</v>
      </c>
      <c r="C803" s="471" t="s">
        <v>1337</v>
      </c>
      <c r="D803" s="596" t="s">
        <v>2085</v>
      </c>
    </row>
    <row r="804" spans="1:4" s="587" customFormat="1" ht="26.25" x14ac:dyDescent="0.25">
      <c r="A804" s="481"/>
      <c r="B804" s="473" t="s">
        <v>213</v>
      </c>
      <c r="C804" s="471" t="s">
        <v>1337</v>
      </c>
      <c r="D804" s="596" t="s">
        <v>2086</v>
      </c>
    </row>
    <row r="805" spans="1:4" s="587" customFormat="1" ht="26.25" customHeight="1" x14ac:dyDescent="0.25">
      <c r="A805" s="481"/>
      <c r="B805" s="473" t="s">
        <v>253</v>
      </c>
      <c r="C805" s="471" t="s">
        <v>1337</v>
      </c>
      <c r="D805" s="596" t="s">
        <v>2087</v>
      </c>
    </row>
    <row r="806" spans="1:4" s="587" customFormat="1" x14ac:dyDescent="0.25">
      <c r="A806" s="481"/>
      <c r="B806" s="473" t="s">
        <v>653</v>
      </c>
      <c r="C806" s="471" t="s">
        <v>1337</v>
      </c>
      <c r="D806" s="596" t="s">
        <v>2088</v>
      </c>
    </row>
    <row r="807" spans="1:4" s="495" customFormat="1" x14ac:dyDescent="0.25">
      <c r="A807" s="340"/>
      <c r="B807" s="364" t="s">
        <v>612</v>
      </c>
      <c r="C807" s="385"/>
      <c r="D807" s="498"/>
    </row>
    <row r="808" spans="1:4" s="495" customFormat="1" x14ac:dyDescent="0.25">
      <c r="A808" s="340">
        <v>1</v>
      </c>
      <c r="B808" s="350" t="s">
        <v>304</v>
      </c>
      <c r="C808" s="338" t="s">
        <v>2178</v>
      </c>
      <c r="D808" s="498"/>
    </row>
    <row r="809" spans="1:4" s="495" customFormat="1" x14ac:dyDescent="0.25">
      <c r="A809" s="340">
        <v>2</v>
      </c>
      <c r="B809" s="350" t="s">
        <v>83</v>
      </c>
      <c r="C809" s="338" t="s">
        <v>2179</v>
      </c>
      <c r="D809" s="498"/>
    </row>
    <row r="810" spans="1:4" s="587" customFormat="1" x14ac:dyDescent="0.25">
      <c r="A810" s="481">
        <v>3</v>
      </c>
      <c r="B810" s="473" t="s">
        <v>66</v>
      </c>
      <c r="C810" s="471" t="s">
        <v>2180</v>
      </c>
      <c r="D810" s="608"/>
    </row>
    <row r="811" spans="1:4" s="495" customFormat="1" x14ac:dyDescent="0.25">
      <c r="A811" s="340">
        <v>4</v>
      </c>
      <c r="B811" s="350" t="s">
        <v>53</v>
      </c>
      <c r="C811" s="338" t="s">
        <v>2181</v>
      </c>
      <c r="D811" s="498"/>
    </row>
    <row r="812" spans="1:4" s="495" customFormat="1" x14ac:dyDescent="0.25">
      <c r="A812" s="340">
        <v>5</v>
      </c>
      <c r="B812" s="350" t="s">
        <v>210</v>
      </c>
      <c r="C812" s="338" t="s">
        <v>2182</v>
      </c>
      <c r="D812" s="498"/>
    </row>
    <row r="813" spans="1:4" s="495" customFormat="1" x14ac:dyDescent="0.25">
      <c r="A813" s="340">
        <v>6</v>
      </c>
      <c r="B813" s="350" t="s">
        <v>213</v>
      </c>
      <c r="C813" s="338" t="s">
        <v>2183</v>
      </c>
      <c r="D813" s="498"/>
    </row>
    <row r="814" spans="1:4" s="495" customFormat="1" x14ac:dyDescent="0.25">
      <c r="A814" s="340">
        <v>7</v>
      </c>
      <c r="B814" s="350" t="s">
        <v>94</v>
      </c>
      <c r="C814" s="338" t="s">
        <v>2184</v>
      </c>
      <c r="D814" s="498"/>
    </row>
    <row r="815" spans="1:4" s="495" customFormat="1" x14ac:dyDescent="0.25">
      <c r="A815" s="340">
        <v>9</v>
      </c>
      <c r="B815" s="350" t="s">
        <v>45</v>
      </c>
      <c r="C815" s="338" t="s">
        <v>2185</v>
      </c>
      <c r="D815" s="498"/>
    </row>
    <row r="816" spans="1:4" s="495" customFormat="1" x14ac:dyDescent="0.25">
      <c r="A816" s="340">
        <v>10</v>
      </c>
      <c r="B816" s="350" t="s">
        <v>253</v>
      </c>
      <c r="C816" s="338" t="s">
        <v>2186</v>
      </c>
      <c r="D816" s="563"/>
    </row>
    <row r="817" spans="1:4" s="495" customFormat="1" x14ac:dyDescent="0.25">
      <c r="A817" s="340">
        <v>11</v>
      </c>
      <c r="B817" s="350" t="s">
        <v>653</v>
      </c>
      <c r="C817" s="338" t="s">
        <v>2187</v>
      </c>
      <c r="D817" s="563"/>
    </row>
    <row r="818" spans="1:4" s="495" customFormat="1" x14ac:dyDescent="0.25">
      <c r="A818" s="334"/>
      <c r="B818" s="351" t="s">
        <v>585</v>
      </c>
      <c r="C818" s="453"/>
      <c r="D818" s="498"/>
    </row>
    <row r="819" spans="1:4" s="495" customFormat="1" x14ac:dyDescent="0.25">
      <c r="A819" s="340">
        <v>1</v>
      </c>
      <c r="B819" s="350" t="s">
        <v>304</v>
      </c>
      <c r="C819" s="338" t="s">
        <v>1084</v>
      </c>
      <c r="D819" s="498"/>
    </row>
    <row r="820" spans="1:4" s="495" customFormat="1" x14ac:dyDescent="0.25">
      <c r="A820" s="340">
        <v>2</v>
      </c>
      <c r="B820" s="350" t="s">
        <v>66</v>
      </c>
      <c r="C820" s="338" t="s">
        <v>1085</v>
      </c>
      <c r="D820" s="498"/>
    </row>
    <row r="821" spans="1:4" s="587" customFormat="1" ht="26.25" x14ac:dyDescent="0.25">
      <c r="A821" s="481"/>
      <c r="B821" s="473" t="s">
        <v>1680</v>
      </c>
      <c r="C821" s="471" t="s">
        <v>1337</v>
      </c>
      <c r="D821" s="596" t="s">
        <v>2089</v>
      </c>
    </row>
    <row r="822" spans="1:4" s="495" customFormat="1" x14ac:dyDescent="0.25">
      <c r="A822" s="340">
        <v>3</v>
      </c>
      <c r="B822" s="350" t="s">
        <v>53</v>
      </c>
      <c r="C822" s="338" t="s">
        <v>1086</v>
      </c>
      <c r="D822" s="498"/>
    </row>
    <row r="823" spans="1:4" s="495" customFormat="1" x14ac:dyDescent="0.25">
      <c r="A823" s="340">
        <v>4</v>
      </c>
      <c r="B823" s="350" t="s">
        <v>210</v>
      </c>
      <c r="C823" s="338" t="s">
        <v>1087</v>
      </c>
      <c r="D823" s="498"/>
    </row>
    <row r="824" spans="1:4" s="495" customFormat="1" x14ac:dyDescent="0.25">
      <c r="A824" s="340">
        <v>5</v>
      </c>
      <c r="B824" s="350" t="s">
        <v>213</v>
      </c>
      <c r="C824" s="338" t="s">
        <v>1089</v>
      </c>
      <c r="D824" s="498"/>
    </row>
    <row r="825" spans="1:4" s="495" customFormat="1" x14ac:dyDescent="0.25">
      <c r="A825" s="340">
        <v>6</v>
      </c>
      <c r="B825" s="350" t="s">
        <v>94</v>
      </c>
      <c r="C825" s="338" t="s">
        <v>1088</v>
      </c>
      <c r="D825" s="498"/>
    </row>
    <row r="826" spans="1:4" s="495" customFormat="1" x14ac:dyDescent="0.25">
      <c r="A826" s="340">
        <v>9</v>
      </c>
      <c r="B826" s="350" t="s">
        <v>253</v>
      </c>
      <c r="C826" s="338" t="s">
        <v>1667</v>
      </c>
      <c r="D826" s="563"/>
    </row>
    <row r="827" spans="1:4" s="495" customFormat="1" x14ac:dyDescent="0.25">
      <c r="A827" s="340">
        <v>10</v>
      </c>
      <c r="B827" s="350" t="s">
        <v>653</v>
      </c>
      <c r="C827" s="338" t="s">
        <v>1668</v>
      </c>
      <c r="D827" s="563"/>
    </row>
    <row r="828" spans="1:4" s="495" customFormat="1" x14ac:dyDescent="0.25">
      <c r="A828" s="340"/>
      <c r="B828" s="364" t="s">
        <v>151</v>
      </c>
      <c r="C828" s="387"/>
      <c r="D828" s="498"/>
    </row>
    <row r="829" spans="1:4" s="495" customFormat="1" x14ac:dyDescent="0.25">
      <c r="A829" s="393">
        <v>1</v>
      </c>
      <c r="B829" s="349" t="s">
        <v>152</v>
      </c>
      <c r="C829" s="338" t="s">
        <v>2249</v>
      </c>
      <c r="D829" s="498"/>
    </row>
    <row r="830" spans="1:4" s="495" customFormat="1" x14ac:dyDescent="0.25">
      <c r="A830" s="393">
        <v>2</v>
      </c>
      <c r="B830" s="349" t="s">
        <v>305</v>
      </c>
      <c r="C830" s="338" t="s">
        <v>2250</v>
      </c>
      <c r="D830" s="498"/>
    </row>
    <row r="831" spans="1:4" s="495" customFormat="1" x14ac:dyDescent="0.25">
      <c r="A831" s="393">
        <v>3</v>
      </c>
      <c r="B831" s="349" t="s">
        <v>53</v>
      </c>
      <c r="C831" s="338" t="s">
        <v>2251</v>
      </c>
      <c r="D831" s="498"/>
    </row>
    <row r="832" spans="1:4" s="495" customFormat="1" x14ac:dyDescent="0.25">
      <c r="A832" s="393">
        <v>4</v>
      </c>
      <c r="B832" s="349" t="s">
        <v>210</v>
      </c>
      <c r="C832" s="338" t="s">
        <v>2252</v>
      </c>
      <c r="D832" s="498"/>
    </row>
    <row r="833" spans="1:4" s="495" customFormat="1" x14ac:dyDescent="0.25">
      <c r="A833" s="393">
        <v>5</v>
      </c>
      <c r="B833" s="349" t="s">
        <v>94</v>
      </c>
      <c r="C833" s="338" t="s">
        <v>2253</v>
      </c>
      <c r="D833" s="498"/>
    </row>
    <row r="834" spans="1:4" s="495" customFormat="1" x14ac:dyDescent="0.25">
      <c r="A834" s="394">
        <v>6</v>
      </c>
      <c r="B834" s="349" t="s">
        <v>213</v>
      </c>
      <c r="C834" s="338" t="s">
        <v>2254</v>
      </c>
      <c r="D834" s="498"/>
    </row>
    <row r="835" spans="1:4" s="495" customFormat="1" x14ac:dyDescent="0.25">
      <c r="A835" s="340">
        <v>7</v>
      </c>
      <c r="B835" s="349" t="s">
        <v>44</v>
      </c>
      <c r="C835" s="338" t="s">
        <v>2255</v>
      </c>
      <c r="D835" s="498"/>
    </row>
    <row r="836" spans="1:4" s="495" customFormat="1" x14ac:dyDescent="0.25">
      <c r="A836" s="340">
        <v>8</v>
      </c>
      <c r="B836" s="349" t="s">
        <v>45</v>
      </c>
      <c r="C836" s="338" t="s">
        <v>2256</v>
      </c>
      <c r="D836" s="498"/>
    </row>
    <row r="837" spans="1:4" s="495" customFormat="1" x14ac:dyDescent="0.25">
      <c r="A837" s="340">
        <v>9</v>
      </c>
      <c r="B837" s="350" t="s">
        <v>653</v>
      </c>
      <c r="C837" s="338" t="s">
        <v>2257</v>
      </c>
      <c r="D837" s="563"/>
    </row>
    <row r="838" spans="1:4" s="495" customFormat="1" x14ac:dyDescent="0.25">
      <c r="A838" s="340"/>
      <c r="B838" s="364" t="s">
        <v>507</v>
      </c>
      <c r="C838" s="385"/>
      <c r="D838" s="498"/>
    </row>
    <row r="839" spans="1:4" s="495" customFormat="1" x14ac:dyDescent="0.25">
      <c r="A839" s="340" t="s">
        <v>61</v>
      </c>
      <c r="B839" s="395" t="s">
        <v>308</v>
      </c>
      <c r="C839" s="338" t="s">
        <v>941</v>
      </c>
      <c r="D839" s="498"/>
    </row>
    <row r="840" spans="1:4" s="495" customFormat="1" x14ac:dyDescent="0.25">
      <c r="A840" s="340" t="s">
        <v>63</v>
      </c>
      <c r="B840" s="350" t="s">
        <v>223</v>
      </c>
      <c r="C840" s="338" t="s">
        <v>2258</v>
      </c>
      <c r="D840" s="498"/>
    </row>
    <row r="841" spans="1:4" s="495" customFormat="1" x14ac:dyDescent="0.25">
      <c r="A841" s="340">
        <v>3</v>
      </c>
      <c r="B841" s="350" t="s">
        <v>53</v>
      </c>
      <c r="C841" s="338" t="s">
        <v>2259</v>
      </c>
      <c r="D841" s="498"/>
    </row>
    <row r="842" spans="1:4" s="495" customFormat="1" x14ac:dyDescent="0.25">
      <c r="A842" s="340">
        <v>4</v>
      </c>
      <c r="B842" s="350" t="s">
        <v>210</v>
      </c>
      <c r="C842" s="338" t="s">
        <v>2260</v>
      </c>
      <c r="D842" s="498"/>
    </row>
    <row r="843" spans="1:4" s="495" customFormat="1" x14ac:dyDescent="0.25">
      <c r="A843" s="340">
        <v>5</v>
      </c>
      <c r="B843" s="350" t="s">
        <v>213</v>
      </c>
      <c r="C843" s="338" t="s">
        <v>2262</v>
      </c>
      <c r="D843" s="498"/>
    </row>
    <row r="844" spans="1:4" s="495" customFormat="1" x14ac:dyDescent="0.25">
      <c r="A844" s="340">
        <v>6</v>
      </c>
      <c r="B844" s="350" t="s">
        <v>94</v>
      </c>
      <c r="C844" s="338" t="s">
        <v>2261</v>
      </c>
      <c r="D844" s="498"/>
    </row>
    <row r="845" spans="1:4" s="495" customFormat="1" x14ac:dyDescent="0.25">
      <c r="A845" s="340">
        <v>8</v>
      </c>
      <c r="B845" s="350" t="s">
        <v>45</v>
      </c>
      <c r="C845" s="338" t="s">
        <v>2264</v>
      </c>
      <c r="D845" s="498"/>
    </row>
    <row r="846" spans="1:4" s="495" customFormat="1" x14ac:dyDescent="0.25">
      <c r="A846" s="340">
        <v>9</v>
      </c>
      <c r="B846" s="350" t="s">
        <v>253</v>
      </c>
      <c r="C846" s="338" t="s">
        <v>2263</v>
      </c>
      <c r="D846" s="563"/>
    </row>
    <row r="847" spans="1:4" s="495" customFormat="1" x14ac:dyDescent="0.25">
      <c r="A847" s="340">
        <v>10</v>
      </c>
      <c r="B847" s="350" t="s">
        <v>653</v>
      </c>
      <c r="C847" s="338" t="s">
        <v>2265</v>
      </c>
      <c r="D847" s="563"/>
    </row>
    <row r="848" spans="1:4" s="495" customFormat="1" x14ac:dyDescent="0.25">
      <c r="A848" s="340"/>
      <c r="B848" s="351" t="s">
        <v>516</v>
      </c>
      <c r="C848" s="453"/>
      <c r="D848" s="498"/>
    </row>
    <row r="849" spans="1:4" s="495" customFormat="1" x14ac:dyDescent="0.25">
      <c r="A849" s="340">
        <v>1</v>
      </c>
      <c r="B849" s="350" t="s">
        <v>216</v>
      </c>
      <c r="C849" s="338" t="s">
        <v>2266</v>
      </c>
      <c r="D849" s="498"/>
    </row>
    <row r="850" spans="1:4" s="495" customFormat="1" x14ac:dyDescent="0.25">
      <c r="A850" s="340">
        <v>2</v>
      </c>
      <c r="B850" s="350" t="s">
        <v>68</v>
      </c>
      <c r="C850" s="338" t="s">
        <v>2267</v>
      </c>
      <c r="D850" s="498"/>
    </row>
    <row r="851" spans="1:4" s="495" customFormat="1" x14ac:dyDescent="0.25">
      <c r="A851" s="340">
        <v>3</v>
      </c>
      <c r="B851" s="350" t="s">
        <v>66</v>
      </c>
      <c r="C851" s="338" t="s">
        <v>1067</v>
      </c>
      <c r="D851" s="498"/>
    </row>
    <row r="852" spans="1:4" s="495" customFormat="1" x14ac:dyDescent="0.25">
      <c r="A852" s="340">
        <v>4</v>
      </c>
      <c r="B852" s="350" t="s">
        <v>309</v>
      </c>
      <c r="C852" s="338" t="s">
        <v>1068</v>
      </c>
      <c r="D852" s="498"/>
    </row>
    <row r="853" spans="1:4" s="495" customFormat="1" x14ac:dyDescent="0.25">
      <c r="A853" s="340">
        <v>5</v>
      </c>
      <c r="B853" s="350" t="s">
        <v>53</v>
      </c>
      <c r="C853" s="338" t="s">
        <v>2268</v>
      </c>
      <c r="D853" s="498"/>
    </row>
    <row r="854" spans="1:4" s="495" customFormat="1" x14ac:dyDescent="0.25">
      <c r="A854" s="340">
        <v>6</v>
      </c>
      <c r="B854" s="350" t="s">
        <v>210</v>
      </c>
      <c r="C854" s="338" t="s">
        <v>2269</v>
      </c>
      <c r="D854" s="498"/>
    </row>
    <row r="855" spans="1:4" s="495" customFormat="1" x14ac:dyDescent="0.25">
      <c r="A855" s="340">
        <v>7</v>
      </c>
      <c r="B855" s="350" t="s">
        <v>94</v>
      </c>
      <c r="C855" s="338" t="s">
        <v>1071</v>
      </c>
      <c r="D855" s="498"/>
    </row>
    <row r="856" spans="1:4" s="495" customFormat="1" x14ac:dyDescent="0.25">
      <c r="A856" s="334">
        <v>8</v>
      </c>
      <c r="B856" s="350" t="s">
        <v>310</v>
      </c>
      <c r="C856" s="338" t="s">
        <v>1072</v>
      </c>
      <c r="D856" s="498"/>
    </row>
    <row r="857" spans="1:4" s="495" customFormat="1" x14ac:dyDescent="0.25">
      <c r="A857" s="340">
        <v>10</v>
      </c>
      <c r="B857" s="350" t="s">
        <v>45</v>
      </c>
      <c r="C857" s="338" t="s">
        <v>2271</v>
      </c>
      <c r="D857" s="498"/>
    </row>
    <row r="858" spans="1:4" s="495" customFormat="1" x14ac:dyDescent="0.25">
      <c r="A858" s="340">
        <v>11</v>
      </c>
      <c r="B858" s="350" t="s">
        <v>253</v>
      </c>
      <c r="C858" s="338" t="s">
        <v>2270</v>
      </c>
      <c r="D858" s="563"/>
    </row>
    <row r="859" spans="1:4" s="495" customFormat="1" x14ac:dyDescent="0.25">
      <c r="A859" s="340">
        <v>12</v>
      </c>
      <c r="B859" s="350" t="s">
        <v>653</v>
      </c>
      <c r="C859" s="338" t="s">
        <v>2272</v>
      </c>
      <c r="D859" s="563"/>
    </row>
    <row r="860" spans="1:4" s="495" customFormat="1" x14ac:dyDescent="0.25">
      <c r="A860" s="341">
        <v>13</v>
      </c>
      <c r="B860" s="350" t="s">
        <v>311</v>
      </c>
      <c r="C860" s="385" t="s">
        <v>1665</v>
      </c>
      <c r="D860" s="498"/>
    </row>
    <row r="861" spans="1:4" s="495" customFormat="1" x14ac:dyDescent="0.25">
      <c r="A861" s="341">
        <v>14</v>
      </c>
      <c r="B861" s="350" t="s">
        <v>312</v>
      </c>
      <c r="C861" s="385" t="s">
        <v>1666</v>
      </c>
      <c r="D861" s="498"/>
    </row>
    <row r="862" spans="1:4" s="495" customFormat="1" x14ac:dyDescent="0.25">
      <c r="A862" s="340"/>
      <c r="B862" s="392" t="s">
        <v>615</v>
      </c>
      <c r="C862" s="453"/>
      <c r="D862" s="498"/>
    </row>
    <row r="863" spans="1:4" s="495" customFormat="1" x14ac:dyDescent="0.25">
      <c r="A863" s="340">
        <v>1</v>
      </c>
      <c r="B863" s="349" t="s">
        <v>313</v>
      </c>
      <c r="C863" s="338" t="s">
        <v>2273</v>
      </c>
      <c r="D863" s="498"/>
    </row>
    <row r="864" spans="1:4" s="495" customFormat="1" x14ac:dyDescent="0.25">
      <c r="A864" s="340">
        <v>2</v>
      </c>
      <c r="B864" s="349" t="s">
        <v>81</v>
      </c>
      <c r="C864" s="338" t="s">
        <v>2275</v>
      </c>
      <c r="D864" s="498"/>
    </row>
    <row r="865" spans="1:4" s="495" customFormat="1" x14ac:dyDescent="0.25">
      <c r="A865" s="340">
        <v>3</v>
      </c>
      <c r="B865" s="350" t="s">
        <v>92</v>
      </c>
      <c r="C865" s="338" t="s">
        <v>2274</v>
      </c>
      <c r="D865" s="498"/>
    </row>
    <row r="866" spans="1:4" s="495" customFormat="1" x14ac:dyDescent="0.25">
      <c r="A866" s="340">
        <v>4</v>
      </c>
      <c r="B866" s="350" t="s">
        <v>314</v>
      </c>
      <c r="C866" s="338" t="s">
        <v>2276</v>
      </c>
      <c r="D866" s="498"/>
    </row>
    <row r="867" spans="1:4" s="495" customFormat="1" x14ac:dyDescent="0.25">
      <c r="A867" s="340">
        <v>5</v>
      </c>
      <c r="B867" s="349" t="s">
        <v>53</v>
      </c>
      <c r="C867" s="338" t="s">
        <v>2277</v>
      </c>
      <c r="D867" s="498"/>
    </row>
    <row r="868" spans="1:4" s="495" customFormat="1" x14ac:dyDescent="0.25">
      <c r="A868" s="340">
        <v>6</v>
      </c>
      <c r="B868" s="349" t="s">
        <v>210</v>
      </c>
      <c r="C868" s="338" t="s">
        <v>2278</v>
      </c>
      <c r="D868" s="498"/>
    </row>
    <row r="869" spans="1:4" s="495" customFormat="1" x14ac:dyDescent="0.25">
      <c r="A869" s="340">
        <v>7</v>
      </c>
      <c r="B869" s="349" t="s">
        <v>94</v>
      </c>
      <c r="C869" s="338" t="s">
        <v>982</v>
      </c>
      <c r="D869" s="498"/>
    </row>
    <row r="870" spans="1:4" s="495" customFormat="1" x14ac:dyDescent="0.25">
      <c r="A870" s="340">
        <v>8</v>
      </c>
      <c r="B870" s="349" t="s">
        <v>213</v>
      </c>
      <c r="C870" s="338" t="s">
        <v>2279</v>
      </c>
      <c r="D870" s="498"/>
    </row>
    <row r="871" spans="1:4" s="495" customFormat="1" x14ac:dyDescent="0.25">
      <c r="A871" s="340">
        <v>10</v>
      </c>
      <c r="B871" s="349" t="s">
        <v>45</v>
      </c>
      <c r="C871" s="338" t="s">
        <v>2280</v>
      </c>
      <c r="D871" s="498"/>
    </row>
    <row r="872" spans="1:4" s="495" customFormat="1" x14ac:dyDescent="0.25">
      <c r="A872" s="340"/>
      <c r="B872" s="628" t="s">
        <v>658</v>
      </c>
      <c r="C872" s="453"/>
      <c r="D872" s="498"/>
    </row>
    <row r="873" spans="1:4" s="495" customFormat="1" ht="39" x14ac:dyDescent="0.25">
      <c r="A873" s="484">
        <v>1</v>
      </c>
      <c r="B873" s="349" t="s">
        <v>659</v>
      </c>
      <c r="C873" s="338" t="s">
        <v>2058</v>
      </c>
      <c r="D873" s="578" t="s">
        <v>2062</v>
      </c>
    </row>
    <row r="874" spans="1:4" s="495" customFormat="1" ht="39" x14ac:dyDescent="0.25">
      <c r="A874" s="484">
        <v>2</v>
      </c>
      <c r="B874" s="349" t="s">
        <v>349</v>
      </c>
      <c r="C874" s="338" t="s">
        <v>2059</v>
      </c>
      <c r="D874" s="578" t="s">
        <v>2063</v>
      </c>
    </row>
    <row r="875" spans="1:4" s="495" customFormat="1" ht="39" x14ac:dyDescent="0.25">
      <c r="A875" s="340">
        <v>3</v>
      </c>
      <c r="B875" s="349" t="s">
        <v>240</v>
      </c>
      <c r="C875" s="338" t="s">
        <v>2060</v>
      </c>
      <c r="D875" s="578" t="s">
        <v>2064</v>
      </c>
    </row>
    <row r="876" spans="1:4" s="495" customFormat="1" ht="39" x14ac:dyDescent="0.25">
      <c r="A876" s="340">
        <v>4</v>
      </c>
      <c r="B876" s="349" t="s">
        <v>64</v>
      </c>
      <c r="C876" s="338" t="s">
        <v>2061</v>
      </c>
      <c r="D876" s="578" t="s">
        <v>2065</v>
      </c>
    </row>
    <row r="877" spans="1:4" s="495" customFormat="1" x14ac:dyDescent="0.25">
      <c r="A877" s="340">
        <v>5</v>
      </c>
      <c r="B877" s="349" t="s">
        <v>595</v>
      </c>
      <c r="C877" s="338" t="s">
        <v>1669</v>
      </c>
      <c r="D877" s="578"/>
    </row>
    <row r="878" spans="1:4" s="495" customFormat="1" x14ac:dyDescent="0.25">
      <c r="A878" s="340">
        <v>6</v>
      </c>
      <c r="B878" s="353" t="s">
        <v>478</v>
      </c>
      <c r="C878" s="338" t="s">
        <v>1670</v>
      </c>
      <c r="D878" s="430"/>
    </row>
    <row r="879" spans="1:4" s="495" customFormat="1" x14ac:dyDescent="0.25">
      <c r="A879" s="340">
        <v>7</v>
      </c>
      <c r="B879" s="353" t="s">
        <v>253</v>
      </c>
      <c r="C879" s="338" t="s">
        <v>1671</v>
      </c>
      <c r="D879" s="563"/>
    </row>
    <row r="880" spans="1:4" s="495" customFormat="1" x14ac:dyDescent="0.25">
      <c r="A880" s="341">
        <v>8</v>
      </c>
      <c r="B880" s="353" t="s">
        <v>653</v>
      </c>
      <c r="C880" s="338" t="s">
        <v>1672</v>
      </c>
      <c r="D880" s="563"/>
    </row>
    <row r="881" spans="1:4" s="495" customFormat="1" x14ac:dyDescent="0.25">
      <c r="A881" s="340"/>
      <c r="B881" s="351" t="s">
        <v>239</v>
      </c>
      <c r="C881" s="453"/>
      <c r="D881" s="498"/>
    </row>
    <row r="882" spans="1:4" s="495" customFormat="1" x14ac:dyDescent="0.25">
      <c r="A882" s="340">
        <v>1</v>
      </c>
      <c r="B882" s="353" t="s">
        <v>315</v>
      </c>
      <c r="C882" s="338" t="s">
        <v>1673</v>
      </c>
      <c r="D882" s="562"/>
    </row>
    <row r="883" spans="1:4" s="495" customFormat="1" x14ac:dyDescent="0.25">
      <c r="A883" s="340">
        <v>2</v>
      </c>
      <c r="B883" s="350" t="s">
        <v>240</v>
      </c>
      <c r="C883" s="338" t="s">
        <v>1676</v>
      </c>
      <c r="D883" s="498"/>
    </row>
    <row r="884" spans="1:4" s="495" customFormat="1" x14ac:dyDescent="0.25">
      <c r="A884" s="340">
        <v>3</v>
      </c>
      <c r="B884" s="350" t="s">
        <v>595</v>
      </c>
      <c r="C884" s="338" t="s">
        <v>1677</v>
      </c>
      <c r="D884" s="498"/>
    </row>
    <row r="885" spans="1:4" s="495" customFormat="1" x14ac:dyDescent="0.25">
      <c r="A885" s="340">
        <v>4</v>
      </c>
      <c r="B885" s="350" t="s">
        <v>44</v>
      </c>
      <c r="C885" s="338" t="s">
        <v>1678</v>
      </c>
      <c r="D885" s="498"/>
    </row>
    <row r="886" spans="1:4" s="495" customFormat="1" x14ac:dyDescent="0.25">
      <c r="A886" s="334">
        <v>5</v>
      </c>
      <c r="B886" s="350" t="s">
        <v>45</v>
      </c>
      <c r="C886" s="338" t="s">
        <v>1679</v>
      </c>
      <c r="D886" s="498"/>
    </row>
    <row r="887" spans="1:4" s="495" customFormat="1" x14ac:dyDescent="0.25">
      <c r="A887" s="340"/>
      <c r="B887" s="351" t="s">
        <v>1682</v>
      </c>
      <c r="C887" s="385"/>
      <c r="D887" s="498"/>
    </row>
    <row r="888" spans="1:4" s="495" customFormat="1" x14ac:dyDescent="0.25">
      <c r="A888" s="340">
        <v>1</v>
      </c>
      <c r="B888" s="349" t="s">
        <v>236</v>
      </c>
      <c r="C888" s="457" t="s">
        <v>2124</v>
      </c>
      <c r="D888" s="498"/>
    </row>
    <row r="889" spans="1:4" s="495" customFormat="1" x14ac:dyDescent="0.25">
      <c r="A889" s="340">
        <v>2</v>
      </c>
      <c r="B889" s="350" t="s">
        <v>237</v>
      </c>
      <c r="C889" s="457" t="s">
        <v>2125</v>
      </c>
      <c r="D889" s="498"/>
    </row>
    <row r="890" spans="1:4" s="495" customFormat="1" x14ac:dyDescent="0.25">
      <c r="A890" s="340">
        <v>3</v>
      </c>
      <c r="B890" s="353" t="s">
        <v>53</v>
      </c>
      <c r="C890" s="457" t="s">
        <v>2126</v>
      </c>
      <c r="D890" s="498"/>
    </row>
    <row r="891" spans="1:4" s="495" customFormat="1" x14ac:dyDescent="0.25">
      <c r="A891" s="340">
        <v>4</v>
      </c>
      <c r="B891" s="350" t="s">
        <v>238</v>
      </c>
      <c r="C891" s="457" t="s">
        <v>2127</v>
      </c>
      <c r="D891" s="498"/>
    </row>
    <row r="892" spans="1:4" s="659" customFormat="1" x14ac:dyDescent="0.25">
      <c r="A892" s="655"/>
      <c r="B892" s="656" t="s">
        <v>94</v>
      </c>
      <c r="C892" s="657" t="s">
        <v>2128</v>
      </c>
      <c r="D892" s="658"/>
    </row>
    <row r="893" spans="1:4" s="659" customFormat="1" ht="26.25" customHeight="1" x14ac:dyDescent="0.25">
      <c r="A893" s="655"/>
      <c r="B893" s="656" t="s">
        <v>213</v>
      </c>
      <c r="C893" s="657" t="s">
        <v>2129</v>
      </c>
      <c r="D893" s="658"/>
    </row>
    <row r="894" spans="1:4" s="659" customFormat="1" ht="18" customHeight="1" x14ac:dyDescent="0.25">
      <c r="A894" s="655">
        <v>5</v>
      </c>
      <c r="B894" s="656" t="s">
        <v>297</v>
      </c>
      <c r="C894" s="657" t="s">
        <v>2130</v>
      </c>
      <c r="D894" s="660"/>
    </row>
    <row r="895" spans="1:4" s="659" customFormat="1" x14ac:dyDescent="0.25">
      <c r="A895" s="655">
        <v>7</v>
      </c>
      <c r="B895" s="656" t="s">
        <v>45</v>
      </c>
      <c r="C895" s="657" t="s">
        <v>2131</v>
      </c>
      <c r="D895" s="658"/>
    </row>
    <row r="896" spans="1:4" s="659" customFormat="1" x14ac:dyDescent="0.25">
      <c r="A896" s="655"/>
      <c r="B896" s="656" t="s">
        <v>253</v>
      </c>
      <c r="C896" s="657" t="s">
        <v>2132</v>
      </c>
      <c r="D896" s="658"/>
    </row>
    <row r="897" spans="1:4" s="659" customFormat="1" x14ac:dyDescent="0.25">
      <c r="A897" s="655"/>
      <c r="B897" s="656" t="s">
        <v>653</v>
      </c>
      <c r="C897" s="657" t="s">
        <v>2133</v>
      </c>
      <c r="D897" s="658"/>
    </row>
    <row r="898" spans="1:4" s="659" customFormat="1" x14ac:dyDescent="0.25">
      <c r="A898" s="655">
        <v>8</v>
      </c>
      <c r="B898" s="656" t="s">
        <v>478</v>
      </c>
      <c r="C898" s="657" t="s">
        <v>2134</v>
      </c>
      <c r="D898" s="661"/>
    </row>
    <row r="899" spans="1:4" s="659" customFormat="1" x14ac:dyDescent="0.25">
      <c r="A899" s="655"/>
      <c r="B899" s="656" t="s">
        <v>1684</v>
      </c>
      <c r="C899" s="657" t="s">
        <v>2135</v>
      </c>
      <c r="D899" s="661"/>
    </row>
    <row r="900" spans="1:4" s="495" customFormat="1" x14ac:dyDescent="0.25">
      <c r="A900" s="340"/>
      <c r="B900" s="364" t="s">
        <v>1683</v>
      </c>
      <c r="C900" s="385"/>
      <c r="D900" s="430"/>
    </row>
    <row r="901" spans="1:4" s="659" customFormat="1" x14ac:dyDescent="0.25">
      <c r="A901" s="655"/>
      <c r="B901" s="662" t="s">
        <v>1685</v>
      </c>
      <c r="C901" s="657" t="s">
        <v>2136</v>
      </c>
      <c r="D901" s="661"/>
    </row>
    <row r="902" spans="1:4" s="659" customFormat="1" x14ac:dyDescent="0.25">
      <c r="A902" s="655"/>
      <c r="B902" s="656" t="s">
        <v>237</v>
      </c>
      <c r="C902" s="657" t="s">
        <v>2137</v>
      </c>
      <c r="D902" s="661"/>
    </row>
    <row r="903" spans="1:4" s="659" customFormat="1" x14ac:dyDescent="0.25">
      <c r="A903" s="655"/>
      <c r="B903" s="656" t="s">
        <v>53</v>
      </c>
      <c r="C903" s="657" t="s">
        <v>2138</v>
      </c>
      <c r="D903" s="661"/>
    </row>
    <row r="904" spans="1:4" s="659" customFormat="1" x14ac:dyDescent="0.25">
      <c r="A904" s="655"/>
      <c r="B904" s="656" t="s">
        <v>64</v>
      </c>
      <c r="C904" s="657" t="s">
        <v>2139</v>
      </c>
      <c r="D904" s="661"/>
    </row>
    <row r="905" spans="1:4" s="659" customFormat="1" x14ac:dyDescent="0.25">
      <c r="A905" s="655"/>
      <c r="B905" s="656" t="s">
        <v>253</v>
      </c>
      <c r="C905" s="657" t="s">
        <v>2140</v>
      </c>
      <c r="D905" s="661"/>
    </row>
    <row r="906" spans="1:4" s="659" customFormat="1" ht="26.25" customHeight="1" x14ac:dyDescent="0.25">
      <c r="A906" s="655"/>
      <c r="B906" s="656" t="s">
        <v>653</v>
      </c>
      <c r="C906" s="657" t="s">
        <v>2141</v>
      </c>
      <c r="D906" s="661"/>
    </row>
    <row r="907" spans="1:4" s="587" customFormat="1" x14ac:dyDescent="0.25">
      <c r="A907" s="481"/>
      <c r="B907" s="473" t="s">
        <v>1686</v>
      </c>
      <c r="C907" s="614" t="s">
        <v>1337</v>
      </c>
      <c r="D907" s="601"/>
    </row>
    <row r="908" spans="1:4" s="495" customFormat="1" x14ac:dyDescent="0.25">
      <c r="A908" s="334"/>
      <c r="B908" s="351" t="s">
        <v>245</v>
      </c>
      <c r="C908" s="453"/>
      <c r="D908" s="498"/>
    </row>
    <row r="909" spans="1:4" s="495" customFormat="1" x14ac:dyDescent="0.25">
      <c r="A909" s="334">
        <v>1</v>
      </c>
      <c r="B909" s="353" t="s">
        <v>53</v>
      </c>
      <c r="C909" s="338" t="s">
        <v>993</v>
      </c>
      <c r="D909" s="498"/>
    </row>
    <row r="910" spans="1:4" s="495" customFormat="1" x14ac:dyDescent="0.25">
      <c r="A910" s="334">
        <v>2</v>
      </c>
      <c r="B910" s="335" t="s">
        <v>246</v>
      </c>
      <c r="C910" s="338" t="s">
        <v>1674</v>
      </c>
      <c r="D910" s="562"/>
    </row>
    <row r="911" spans="1:4" s="495" customFormat="1" x14ac:dyDescent="0.25">
      <c r="A911" s="334">
        <v>3</v>
      </c>
      <c r="B911" s="335" t="s">
        <v>45</v>
      </c>
      <c r="C911" s="338" t="s">
        <v>994</v>
      </c>
      <c r="D911" s="498"/>
    </row>
    <row r="912" spans="1:4" s="587" customFormat="1" ht="39" x14ac:dyDescent="0.25">
      <c r="A912" s="472">
        <v>4</v>
      </c>
      <c r="B912" s="602" t="s">
        <v>653</v>
      </c>
      <c r="C912" s="471" t="s">
        <v>1337</v>
      </c>
      <c r="D912" s="608" t="s">
        <v>1405</v>
      </c>
    </row>
    <row r="913" spans="1:4" s="495" customFormat="1" x14ac:dyDescent="0.25">
      <c r="A913" s="334"/>
      <c r="B913" s="354" t="s">
        <v>247</v>
      </c>
      <c r="C913" s="453"/>
      <c r="D913" s="498"/>
    </row>
    <row r="914" spans="1:4" s="495" customFormat="1" x14ac:dyDescent="0.25">
      <c r="A914" s="340">
        <v>1</v>
      </c>
      <c r="B914" s="349" t="s">
        <v>248</v>
      </c>
      <c r="C914" s="338" t="s">
        <v>2177</v>
      </c>
      <c r="D914" s="498"/>
    </row>
    <row r="915" spans="1:4" s="495" customFormat="1" x14ac:dyDescent="0.25">
      <c r="A915" s="340">
        <v>2</v>
      </c>
      <c r="B915" s="349" t="s">
        <v>249</v>
      </c>
      <c r="C915" s="338" t="s">
        <v>895</v>
      </c>
      <c r="D915" s="498"/>
    </row>
    <row r="916" spans="1:4" s="587" customFormat="1" ht="27" customHeight="1" x14ac:dyDescent="0.25">
      <c r="A916" s="481"/>
      <c r="B916" s="615" t="s">
        <v>1687</v>
      </c>
      <c r="C916" s="471" t="s">
        <v>1337</v>
      </c>
      <c r="D916" s="582" t="s">
        <v>1801</v>
      </c>
    </row>
    <row r="917" spans="1:4" s="587" customFormat="1" ht="27.75" customHeight="1" x14ac:dyDescent="0.25">
      <c r="A917" s="481"/>
      <c r="B917" s="615" t="s">
        <v>1688</v>
      </c>
      <c r="C917" s="471" t="s">
        <v>1337</v>
      </c>
      <c r="D917" s="582" t="s">
        <v>1801</v>
      </c>
    </row>
    <row r="918" spans="1:4" s="587" customFormat="1" ht="26.25" x14ac:dyDescent="0.25">
      <c r="A918" s="481"/>
      <c r="B918" s="615" t="s">
        <v>660</v>
      </c>
      <c r="C918" s="471" t="s">
        <v>1337</v>
      </c>
      <c r="D918" s="582" t="s">
        <v>1802</v>
      </c>
    </row>
    <row r="919" spans="1:4" s="495" customFormat="1" x14ac:dyDescent="0.25">
      <c r="A919" s="340"/>
      <c r="B919" s="354" t="s">
        <v>98</v>
      </c>
      <c r="C919" s="338"/>
      <c r="D919" s="498"/>
    </row>
    <row r="920" spans="1:4" s="495" customFormat="1" x14ac:dyDescent="0.25">
      <c r="A920" s="340">
        <v>1</v>
      </c>
      <c r="B920" s="355" t="s">
        <v>100</v>
      </c>
      <c r="C920" s="338" t="s">
        <v>896</v>
      </c>
      <c r="D920" s="498"/>
    </row>
    <row r="921" spans="1:4" s="495" customFormat="1" x14ac:dyDescent="0.25">
      <c r="A921" s="340">
        <v>2</v>
      </c>
      <c r="B921" s="350" t="s">
        <v>439</v>
      </c>
      <c r="C921" s="338" t="s">
        <v>897</v>
      </c>
      <c r="D921" s="498"/>
    </row>
    <row r="922" spans="1:4" s="495" customFormat="1" x14ac:dyDescent="0.25">
      <c r="A922" s="340">
        <v>3</v>
      </c>
      <c r="B922" s="335" t="s">
        <v>299</v>
      </c>
      <c r="C922" s="338" t="s">
        <v>898</v>
      </c>
      <c r="D922" s="498"/>
    </row>
    <row r="923" spans="1:4" s="495" customFormat="1" x14ac:dyDescent="0.25">
      <c r="A923" s="340">
        <v>11</v>
      </c>
      <c r="B923" s="335" t="s">
        <v>253</v>
      </c>
      <c r="C923" s="338" t="s">
        <v>904</v>
      </c>
      <c r="D923" s="498"/>
    </row>
    <row r="924" spans="1:4" s="495" customFormat="1" x14ac:dyDescent="0.25">
      <c r="A924" s="340">
        <v>12</v>
      </c>
      <c r="B924" s="335" t="s">
        <v>106</v>
      </c>
      <c r="C924" s="338" t="s">
        <v>905</v>
      </c>
      <c r="D924" s="498"/>
    </row>
    <row r="925" spans="1:4" s="495" customFormat="1" x14ac:dyDescent="0.25">
      <c r="A925" s="340">
        <v>13</v>
      </c>
      <c r="B925" s="335" t="s">
        <v>108</v>
      </c>
      <c r="C925" s="338" t="s">
        <v>906</v>
      </c>
      <c r="D925" s="498"/>
    </row>
    <row r="926" spans="1:4" s="495" customFormat="1" x14ac:dyDescent="0.25">
      <c r="A926" s="340">
        <v>14</v>
      </c>
      <c r="B926" s="335" t="s">
        <v>105</v>
      </c>
      <c r="C926" s="338" t="s">
        <v>907</v>
      </c>
      <c r="D926" s="498"/>
    </row>
    <row r="927" spans="1:4" s="495" customFormat="1" x14ac:dyDescent="0.25">
      <c r="A927" s="340">
        <v>16</v>
      </c>
      <c r="B927" s="339" t="s">
        <v>664</v>
      </c>
      <c r="C927" s="385" t="s">
        <v>1193</v>
      </c>
      <c r="D927" s="498"/>
    </row>
    <row r="928" spans="1:4" s="495" customFormat="1" x14ac:dyDescent="0.25">
      <c r="A928" s="341">
        <v>17</v>
      </c>
      <c r="B928" s="350" t="s">
        <v>104</v>
      </c>
      <c r="C928" s="338" t="s">
        <v>909</v>
      </c>
      <c r="D928" s="498"/>
    </row>
    <row r="929" spans="1:4" s="495" customFormat="1" x14ac:dyDescent="0.25">
      <c r="A929" s="340"/>
      <c r="B929" s="390" t="s">
        <v>300</v>
      </c>
      <c r="C929" s="453"/>
      <c r="D929" s="498"/>
    </row>
    <row r="930" spans="1:4" s="495" customFormat="1" x14ac:dyDescent="0.25">
      <c r="A930" s="340">
        <v>1</v>
      </c>
      <c r="B930" s="353" t="s">
        <v>208</v>
      </c>
      <c r="C930" s="338" t="s">
        <v>910</v>
      </c>
      <c r="D930" s="498"/>
    </row>
    <row r="931" spans="1:4" s="495" customFormat="1" x14ac:dyDescent="0.25">
      <c r="A931" s="340">
        <v>2</v>
      </c>
      <c r="B931" s="353" t="s">
        <v>317</v>
      </c>
      <c r="C931" s="338" t="s">
        <v>911</v>
      </c>
      <c r="D931" s="498"/>
    </row>
    <row r="932" spans="1:4" s="495" customFormat="1" x14ac:dyDescent="0.25">
      <c r="A932" s="340">
        <v>3</v>
      </c>
      <c r="B932" s="353" t="s">
        <v>257</v>
      </c>
      <c r="C932" s="338" t="s">
        <v>912</v>
      </c>
      <c r="D932" s="579"/>
    </row>
    <row r="933" spans="1:4" s="495" customFormat="1" x14ac:dyDescent="0.25">
      <c r="A933" s="340">
        <v>4</v>
      </c>
      <c r="B933" s="353" t="s">
        <v>439</v>
      </c>
      <c r="C933" s="338" t="s">
        <v>1675</v>
      </c>
      <c r="D933" s="562"/>
    </row>
    <row r="934" spans="1:4" s="495" customFormat="1" x14ac:dyDescent="0.25">
      <c r="A934" s="340">
        <v>5</v>
      </c>
      <c r="B934" s="350" t="s">
        <v>258</v>
      </c>
      <c r="C934" s="338" t="s">
        <v>913</v>
      </c>
      <c r="D934" s="498"/>
    </row>
    <row r="935" spans="1:4" s="495" customFormat="1" x14ac:dyDescent="0.25">
      <c r="A935" s="340">
        <v>6</v>
      </c>
      <c r="B935" s="355" t="s">
        <v>259</v>
      </c>
      <c r="C935" s="338" t="s">
        <v>914</v>
      </c>
      <c r="D935" s="498"/>
    </row>
    <row r="936" spans="1:4" s="495" customFormat="1" x14ac:dyDescent="0.25">
      <c r="A936" s="340">
        <v>7</v>
      </c>
      <c r="B936" s="355" t="s">
        <v>260</v>
      </c>
      <c r="C936" s="338" t="s">
        <v>915</v>
      </c>
      <c r="D936" s="498"/>
    </row>
    <row r="937" spans="1:4" s="495" customFormat="1" x14ac:dyDescent="0.25">
      <c r="A937" s="340">
        <v>8</v>
      </c>
      <c r="B937" s="355" t="s">
        <v>318</v>
      </c>
      <c r="C937" s="338" t="s">
        <v>916</v>
      </c>
      <c r="D937" s="498"/>
    </row>
    <row r="938" spans="1:4" s="495" customFormat="1" x14ac:dyDescent="0.25">
      <c r="A938" s="340">
        <v>9</v>
      </c>
      <c r="B938" s="335" t="s">
        <v>299</v>
      </c>
      <c r="C938" s="338" t="s">
        <v>917</v>
      </c>
      <c r="D938" s="498"/>
    </row>
    <row r="939" spans="1:4" s="495" customFormat="1" x14ac:dyDescent="0.25">
      <c r="A939" s="340">
        <v>10</v>
      </c>
      <c r="B939" s="355" t="s">
        <v>106</v>
      </c>
      <c r="C939" s="338" t="s">
        <v>918</v>
      </c>
      <c r="D939" s="498"/>
    </row>
    <row r="940" spans="1:4" s="495" customFormat="1" ht="18.75" x14ac:dyDescent="0.3">
      <c r="A940" s="340"/>
      <c r="B940" s="389" t="s">
        <v>517</v>
      </c>
      <c r="C940" s="449"/>
      <c r="D940" s="498"/>
    </row>
    <row r="941" spans="1:4" s="495" customFormat="1" x14ac:dyDescent="0.25">
      <c r="A941" s="340"/>
      <c r="B941" s="363" t="s">
        <v>15</v>
      </c>
      <c r="C941" s="449"/>
      <c r="D941" s="498"/>
    </row>
    <row r="942" spans="1:4" s="495" customFormat="1" x14ac:dyDescent="0.25">
      <c r="A942" s="340">
        <v>1</v>
      </c>
      <c r="B942" s="350" t="s">
        <v>263</v>
      </c>
      <c r="C942" s="338" t="s">
        <v>950</v>
      </c>
      <c r="D942" s="498"/>
    </row>
    <row r="943" spans="1:4" s="495" customFormat="1" x14ac:dyDescent="0.25">
      <c r="A943" s="340">
        <v>2</v>
      </c>
      <c r="B943" s="349" t="s">
        <v>207</v>
      </c>
      <c r="C943" s="338" t="s">
        <v>951</v>
      </c>
      <c r="D943" s="498"/>
    </row>
    <row r="944" spans="1:4" s="495" customFormat="1" x14ac:dyDescent="0.25">
      <c r="A944" s="340">
        <v>3</v>
      </c>
      <c r="B944" s="349" t="s">
        <v>206</v>
      </c>
      <c r="C944" s="338" t="s">
        <v>952</v>
      </c>
      <c r="D944" s="498"/>
    </row>
    <row r="945" spans="1:4" s="495" customFormat="1" x14ac:dyDescent="0.25">
      <c r="A945" s="340">
        <v>4</v>
      </c>
      <c r="B945" s="349" t="s">
        <v>81</v>
      </c>
      <c r="C945" s="338" t="s">
        <v>1047</v>
      </c>
      <c r="D945" s="498"/>
    </row>
    <row r="946" spans="1:4" s="495" customFormat="1" x14ac:dyDescent="0.25">
      <c r="A946" s="340">
        <v>5</v>
      </c>
      <c r="B946" s="353" t="s">
        <v>43</v>
      </c>
      <c r="C946" s="338" t="s">
        <v>1093</v>
      </c>
      <c r="D946" s="498"/>
    </row>
    <row r="947" spans="1:4" s="495" customFormat="1" x14ac:dyDescent="0.25">
      <c r="A947" s="340">
        <v>7</v>
      </c>
      <c r="B947" s="353" t="s">
        <v>208</v>
      </c>
      <c r="C947" s="338" t="s">
        <v>954</v>
      </c>
      <c r="D947" s="498"/>
    </row>
    <row r="948" spans="1:4" s="495" customFormat="1" x14ac:dyDescent="0.25">
      <c r="A948" s="340"/>
      <c r="B948" s="353" t="s">
        <v>64</v>
      </c>
      <c r="C948" s="338" t="s">
        <v>1968</v>
      </c>
      <c r="D948" s="498"/>
    </row>
    <row r="949" spans="1:4" s="495" customFormat="1" x14ac:dyDescent="0.25">
      <c r="A949" s="340">
        <v>8</v>
      </c>
      <c r="B949" s="353" t="s">
        <v>1404</v>
      </c>
      <c r="C949" s="338" t="s">
        <v>1689</v>
      </c>
      <c r="D949" s="498"/>
    </row>
    <row r="950" spans="1:4" s="495" customFormat="1" x14ac:dyDescent="0.25">
      <c r="A950" s="334"/>
      <c r="B950" s="351" t="s">
        <v>46</v>
      </c>
      <c r="C950" s="453"/>
      <c r="D950" s="498"/>
    </row>
    <row r="951" spans="1:4" s="495" customFormat="1" x14ac:dyDescent="0.25">
      <c r="A951" s="334">
        <v>1</v>
      </c>
      <c r="B951" s="339" t="s">
        <v>24</v>
      </c>
      <c r="C951" s="338" t="s">
        <v>955</v>
      </c>
      <c r="D951" s="498"/>
    </row>
    <row r="952" spans="1:4" s="495" customFormat="1" x14ac:dyDescent="0.25">
      <c r="A952" s="340"/>
      <c r="B952" s="374" t="s">
        <v>136</v>
      </c>
      <c r="C952" s="449"/>
      <c r="D952" s="498"/>
    </row>
    <row r="953" spans="1:4" s="495" customFormat="1" x14ac:dyDescent="0.25">
      <c r="A953" s="340">
        <v>1</v>
      </c>
      <c r="B953" s="349" t="s">
        <v>320</v>
      </c>
      <c r="C953" s="338" t="s">
        <v>957</v>
      </c>
      <c r="D953" s="498"/>
    </row>
    <row r="954" spans="1:4" s="495" customFormat="1" x14ac:dyDescent="0.25">
      <c r="A954" s="340">
        <v>2</v>
      </c>
      <c r="B954" s="349" t="s">
        <v>32</v>
      </c>
      <c r="C954" s="338" t="s">
        <v>2300</v>
      </c>
      <c r="D954" s="498"/>
    </row>
    <row r="955" spans="1:4" s="495" customFormat="1" x14ac:dyDescent="0.25">
      <c r="A955" s="340">
        <v>3</v>
      </c>
      <c r="B955" s="349" t="s">
        <v>53</v>
      </c>
      <c r="C955" s="338" t="s">
        <v>2301</v>
      </c>
      <c r="D955" s="498"/>
    </row>
    <row r="956" spans="1:4" s="495" customFormat="1" x14ac:dyDescent="0.25">
      <c r="A956" s="340">
        <v>4</v>
      </c>
      <c r="B956" s="349" t="s">
        <v>210</v>
      </c>
      <c r="C956" s="338" t="s">
        <v>2302</v>
      </c>
      <c r="D956" s="498"/>
    </row>
    <row r="957" spans="1:4" s="495" customFormat="1" x14ac:dyDescent="0.25">
      <c r="A957" s="340">
        <v>5</v>
      </c>
      <c r="B957" s="349" t="s">
        <v>94</v>
      </c>
      <c r="C957" s="338" t="s">
        <v>2303</v>
      </c>
      <c r="D957" s="498"/>
    </row>
    <row r="958" spans="1:4" s="495" customFormat="1" x14ac:dyDescent="0.25">
      <c r="A958" s="340">
        <v>7</v>
      </c>
      <c r="B958" s="349" t="s">
        <v>45</v>
      </c>
      <c r="C958" s="338" t="s">
        <v>2304</v>
      </c>
      <c r="D958" s="498"/>
    </row>
    <row r="959" spans="1:4" s="495" customFormat="1" x14ac:dyDescent="0.25">
      <c r="A959" s="340">
        <v>8</v>
      </c>
      <c r="B959" s="353" t="s">
        <v>253</v>
      </c>
      <c r="C959" s="338" t="s">
        <v>2305</v>
      </c>
      <c r="D959" s="563"/>
    </row>
    <row r="960" spans="1:4" s="495" customFormat="1" x14ac:dyDescent="0.25">
      <c r="A960" s="340">
        <v>9</v>
      </c>
      <c r="B960" s="353" t="s">
        <v>653</v>
      </c>
      <c r="C960" s="338" t="s">
        <v>2306</v>
      </c>
      <c r="D960" s="563"/>
    </row>
    <row r="961" spans="1:4" s="495" customFormat="1" x14ac:dyDescent="0.25">
      <c r="A961" s="340"/>
      <c r="B961" s="351" t="s">
        <v>617</v>
      </c>
      <c r="C961" s="387"/>
      <c r="D961" s="498"/>
    </row>
    <row r="962" spans="1:4" s="495" customFormat="1" x14ac:dyDescent="0.25">
      <c r="A962" s="340">
        <v>1</v>
      </c>
      <c r="B962" s="349" t="s">
        <v>321</v>
      </c>
      <c r="C962" s="338" t="s">
        <v>2307</v>
      </c>
      <c r="D962" s="498"/>
    </row>
    <row r="963" spans="1:4" s="495" customFormat="1" x14ac:dyDescent="0.25">
      <c r="A963" s="340">
        <v>2</v>
      </c>
      <c r="B963" s="349" t="s">
        <v>59</v>
      </c>
      <c r="C963" s="338" t="s">
        <v>2308</v>
      </c>
      <c r="D963" s="498"/>
    </row>
    <row r="964" spans="1:4" s="495" customFormat="1" x14ac:dyDescent="0.25">
      <c r="A964" s="340">
        <v>3</v>
      </c>
      <c r="B964" s="349" t="s">
        <v>32</v>
      </c>
      <c r="C964" s="338" t="s">
        <v>2309</v>
      </c>
      <c r="D964" s="498"/>
    </row>
    <row r="965" spans="1:4" s="495" customFormat="1" x14ac:dyDescent="0.25">
      <c r="A965" s="340">
        <v>4</v>
      </c>
      <c r="B965" s="349" t="s">
        <v>53</v>
      </c>
      <c r="C965" s="338" t="s">
        <v>2310</v>
      </c>
      <c r="D965" s="498"/>
    </row>
    <row r="966" spans="1:4" s="495" customFormat="1" x14ac:dyDescent="0.25">
      <c r="A966" s="340">
        <v>5</v>
      </c>
      <c r="B966" s="349" t="s">
        <v>210</v>
      </c>
      <c r="C966" s="338" t="s">
        <v>2311</v>
      </c>
      <c r="D966" s="498"/>
    </row>
    <row r="967" spans="1:4" s="495" customFormat="1" x14ac:dyDescent="0.25">
      <c r="A967" s="340">
        <v>6</v>
      </c>
      <c r="B967" s="349" t="s">
        <v>94</v>
      </c>
      <c r="C967" s="338" t="s">
        <v>2312</v>
      </c>
      <c r="D967" s="498"/>
    </row>
    <row r="968" spans="1:4" s="495" customFormat="1" x14ac:dyDescent="0.25">
      <c r="A968" s="340">
        <v>8</v>
      </c>
      <c r="B968" s="349" t="s">
        <v>45</v>
      </c>
      <c r="C968" s="338" t="s">
        <v>2314</v>
      </c>
      <c r="D968" s="498"/>
    </row>
    <row r="969" spans="1:4" s="495" customFormat="1" x14ac:dyDescent="0.25">
      <c r="A969" s="340">
        <v>9</v>
      </c>
      <c r="B969" s="353" t="s">
        <v>253</v>
      </c>
      <c r="C969" s="338" t="s">
        <v>2313</v>
      </c>
      <c r="D969" s="563"/>
    </row>
    <row r="970" spans="1:4" s="495" customFormat="1" x14ac:dyDescent="0.25">
      <c r="A970" s="340">
        <v>10</v>
      </c>
      <c r="B970" s="593" t="s">
        <v>487</v>
      </c>
      <c r="C970" s="338" t="s">
        <v>2316</v>
      </c>
      <c r="D970" s="336"/>
    </row>
    <row r="971" spans="1:4" s="495" customFormat="1" x14ac:dyDescent="0.25">
      <c r="A971" s="340">
        <v>11</v>
      </c>
      <c r="B971" s="353" t="s">
        <v>653</v>
      </c>
      <c r="C971" s="338" t="s">
        <v>2315</v>
      </c>
      <c r="D971" s="563"/>
    </row>
    <row r="972" spans="1:4" s="495" customFormat="1" x14ac:dyDescent="0.25">
      <c r="A972" s="354" t="s">
        <v>322</v>
      </c>
      <c r="B972" s="340"/>
      <c r="C972" s="387"/>
      <c r="D972" s="498"/>
    </row>
    <row r="973" spans="1:4" s="495" customFormat="1" x14ac:dyDescent="0.25">
      <c r="A973" s="340">
        <v>1</v>
      </c>
      <c r="B973" s="349" t="s">
        <v>323</v>
      </c>
      <c r="C973" s="494" t="s">
        <v>1962</v>
      </c>
      <c r="D973" s="498"/>
    </row>
    <row r="974" spans="1:4" s="495" customFormat="1" x14ac:dyDescent="0.25">
      <c r="A974" s="340">
        <v>2</v>
      </c>
      <c r="B974" s="349" t="s">
        <v>66</v>
      </c>
      <c r="C974" s="494" t="s">
        <v>1963</v>
      </c>
      <c r="D974" s="498"/>
    </row>
    <row r="975" spans="1:4" s="495" customFormat="1" x14ac:dyDescent="0.25">
      <c r="A975" s="340">
        <v>4</v>
      </c>
      <c r="B975" s="349" t="s">
        <v>53</v>
      </c>
      <c r="C975" s="494" t="s">
        <v>1964</v>
      </c>
      <c r="D975" s="498"/>
    </row>
    <row r="976" spans="1:4" s="495" customFormat="1" x14ac:dyDescent="0.25">
      <c r="A976" s="340">
        <v>5</v>
      </c>
      <c r="B976" s="349" t="s">
        <v>210</v>
      </c>
      <c r="C976" s="494" t="s">
        <v>1965</v>
      </c>
      <c r="D976" s="498"/>
    </row>
    <row r="977" spans="1:4" s="495" customFormat="1" x14ac:dyDescent="0.25">
      <c r="A977" s="340">
        <v>6</v>
      </c>
      <c r="B977" s="349" t="s">
        <v>94</v>
      </c>
      <c r="C977" s="494" t="s">
        <v>1966</v>
      </c>
      <c r="D977" s="498"/>
    </row>
    <row r="978" spans="1:4" s="495" customFormat="1" x14ac:dyDescent="0.25">
      <c r="A978" s="340">
        <v>8</v>
      </c>
      <c r="B978" s="349" t="s">
        <v>45</v>
      </c>
      <c r="C978" s="494" t="s">
        <v>1967</v>
      </c>
      <c r="D978" s="498"/>
    </row>
    <row r="979" spans="1:4" s="495" customFormat="1" x14ac:dyDescent="0.25">
      <c r="A979" s="340">
        <v>9</v>
      </c>
      <c r="B979" s="353" t="s">
        <v>253</v>
      </c>
      <c r="C979" s="338" t="s">
        <v>1690</v>
      </c>
      <c r="D979" s="563"/>
    </row>
    <row r="980" spans="1:4" s="495" customFormat="1" x14ac:dyDescent="0.25">
      <c r="A980" s="340">
        <v>10</v>
      </c>
      <c r="B980" s="353" t="s">
        <v>653</v>
      </c>
      <c r="C980" s="338" t="s">
        <v>1691</v>
      </c>
      <c r="D980" s="563"/>
    </row>
    <row r="981" spans="1:4" s="495" customFormat="1" x14ac:dyDescent="0.25">
      <c r="A981" s="340"/>
      <c r="B981" s="374" t="s">
        <v>519</v>
      </c>
      <c r="C981" s="387"/>
      <c r="D981" s="498"/>
    </row>
    <row r="982" spans="1:4" s="495" customFormat="1" x14ac:dyDescent="0.25">
      <c r="A982" s="334">
        <v>1</v>
      </c>
      <c r="B982" s="349" t="s">
        <v>324</v>
      </c>
      <c r="C982" s="338" t="s">
        <v>2317</v>
      </c>
      <c r="D982" s="498"/>
    </row>
    <row r="983" spans="1:4" s="495" customFormat="1" x14ac:dyDescent="0.25">
      <c r="A983" s="334">
        <v>2</v>
      </c>
      <c r="B983" s="349" t="s">
        <v>325</v>
      </c>
      <c r="C983" s="338" t="s">
        <v>2318</v>
      </c>
      <c r="D983" s="498"/>
    </row>
    <row r="984" spans="1:4" s="495" customFormat="1" x14ac:dyDescent="0.25">
      <c r="A984" s="334">
        <v>3</v>
      </c>
      <c r="B984" s="349" t="s">
        <v>53</v>
      </c>
      <c r="C984" s="338" t="s">
        <v>2319</v>
      </c>
      <c r="D984" s="498"/>
    </row>
    <row r="985" spans="1:4" s="495" customFormat="1" x14ac:dyDescent="0.25">
      <c r="A985" s="334">
        <v>4</v>
      </c>
      <c r="B985" s="349" t="s">
        <v>210</v>
      </c>
      <c r="C985" s="338" t="s">
        <v>2322</v>
      </c>
      <c r="D985" s="498"/>
    </row>
    <row r="986" spans="1:4" s="495" customFormat="1" x14ac:dyDescent="0.25">
      <c r="A986" s="334"/>
      <c r="B986" s="349" t="s">
        <v>2320</v>
      </c>
      <c r="C986" s="338" t="s">
        <v>2321</v>
      </c>
      <c r="D986" s="498"/>
    </row>
    <row r="987" spans="1:4" s="495" customFormat="1" x14ac:dyDescent="0.25">
      <c r="A987" s="334">
        <v>5</v>
      </c>
      <c r="B987" s="349" t="s">
        <v>94</v>
      </c>
      <c r="C987" s="338" t="s">
        <v>2323</v>
      </c>
      <c r="D987" s="498"/>
    </row>
    <row r="988" spans="1:4" s="495" customFormat="1" x14ac:dyDescent="0.25">
      <c r="A988" s="334">
        <v>6</v>
      </c>
      <c r="B988" s="349" t="s">
        <v>213</v>
      </c>
      <c r="C988" s="338" t="s">
        <v>2324</v>
      </c>
      <c r="D988" s="498"/>
    </row>
    <row r="989" spans="1:4" s="495" customFormat="1" x14ac:dyDescent="0.25">
      <c r="A989" s="334">
        <v>8</v>
      </c>
      <c r="B989" s="349" t="s">
        <v>45</v>
      </c>
      <c r="C989" s="338" t="s">
        <v>2326</v>
      </c>
      <c r="D989" s="498"/>
    </row>
    <row r="990" spans="1:4" s="495" customFormat="1" x14ac:dyDescent="0.25">
      <c r="A990" s="334">
        <v>9</v>
      </c>
      <c r="B990" s="353" t="s">
        <v>253</v>
      </c>
      <c r="C990" s="338" t="s">
        <v>2325</v>
      </c>
      <c r="D990" s="563"/>
    </row>
    <row r="991" spans="1:4" s="495" customFormat="1" x14ac:dyDescent="0.25">
      <c r="A991" s="334">
        <v>10</v>
      </c>
      <c r="B991" s="593" t="s">
        <v>487</v>
      </c>
      <c r="C991" s="338" t="s">
        <v>2328</v>
      </c>
      <c r="D991" s="336"/>
    </row>
    <row r="992" spans="1:4" s="495" customFormat="1" x14ac:dyDescent="0.25">
      <c r="A992" s="334">
        <v>11</v>
      </c>
      <c r="B992" s="353" t="s">
        <v>653</v>
      </c>
      <c r="C992" s="338" t="s">
        <v>2327</v>
      </c>
      <c r="D992" s="563"/>
    </row>
    <row r="993" spans="1:4" s="495" customFormat="1" x14ac:dyDescent="0.25">
      <c r="A993" s="485" t="s">
        <v>552</v>
      </c>
      <c r="B993" s="486"/>
      <c r="C993" s="487"/>
      <c r="D993" s="498"/>
    </row>
    <row r="994" spans="1:4" s="495" customFormat="1" x14ac:dyDescent="0.25">
      <c r="A994" s="364" t="s">
        <v>546</v>
      </c>
      <c r="B994" s="340"/>
      <c r="C994" s="387"/>
      <c r="D994" s="498"/>
    </row>
    <row r="995" spans="1:4" s="495" customFormat="1" x14ac:dyDescent="0.25">
      <c r="A995" s="352">
        <v>1</v>
      </c>
      <c r="B995" s="359" t="s">
        <v>556</v>
      </c>
      <c r="C995" s="338" t="s">
        <v>2337</v>
      </c>
      <c r="D995" s="562"/>
    </row>
    <row r="996" spans="1:4" s="495" customFormat="1" x14ac:dyDescent="0.25">
      <c r="A996" s="334">
        <v>2</v>
      </c>
      <c r="B996" s="359" t="s">
        <v>553</v>
      </c>
      <c r="C996" s="338" t="s">
        <v>2338</v>
      </c>
      <c r="D996" s="498"/>
    </row>
    <row r="997" spans="1:4" s="495" customFormat="1" x14ac:dyDescent="0.25">
      <c r="A997" s="334">
        <v>3</v>
      </c>
      <c r="B997" s="349" t="s">
        <v>94</v>
      </c>
      <c r="C997" s="338" t="s">
        <v>2340</v>
      </c>
      <c r="D997" s="498"/>
    </row>
    <row r="998" spans="1:4" s="495" customFormat="1" x14ac:dyDescent="0.25">
      <c r="A998" s="334">
        <v>4</v>
      </c>
      <c r="B998" s="349" t="s">
        <v>210</v>
      </c>
      <c r="C998" s="338" t="s">
        <v>2339</v>
      </c>
      <c r="D998" s="498"/>
    </row>
    <row r="999" spans="1:4" s="587" customFormat="1" ht="39" x14ac:dyDescent="0.25">
      <c r="A999" s="616">
        <v>5</v>
      </c>
      <c r="B999" s="615" t="s">
        <v>282</v>
      </c>
      <c r="C999" s="471" t="s">
        <v>1337</v>
      </c>
      <c r="D999" s="608" t="s">
        <v>1389</v>
      </c>
    </row>
    <row r="1000" spans="1:4" s="495" customFormat="1" x14ac:dyDescent="0.25">
      <c r="A1000" s="488">
        <v>7</v>
      </c>
      <c r="B1000" s="349" t="s">
        <v>45</v>
      </c>
      <c r="C1000" s="338" t="s">
        <v>2341</v>
      </c>
      <c r="D1000" s="498"/>
    </row>
    <row r="1001" spans="1:4" s="495" customFormat="1" x14ac:dyDescent="0.25">
      <c r="A1001" s="488">
        <v>8</v>
      </c>
      <c r="B1001" s="353" t="s">
        <v>253</v>
      </c>
      <c r="C1001" s="338" t="s">
        <v>1692</v>
      </c>
      <c r="D1001" s="563"/>
    </row>
    <row r="1002" spans="1:4" s="495" customFormat="1" x14ac:dyDescent="0.25">
      <c r="A1002" s="488">
        <v>9</v>
      </c>
      <c r="B1002" s="593" t="s">
        <v>487</v>
      </c>
      <c r="C1002" s="338" t="s">
        <v>2343</v>
      </c>
      <c r="D1002" s="434"/>
    </row>
    <row r="1003" spans="1:4" s="495" customFormat="1" x14ac:dyDescent="0.25">
      <c r="A1003" s="488">
        <v>10</v>
      </c>
      <c r="B1003" s="353" t="s">
        <v>653</v>
      </c>
      <c r="C1003" s="338" t="s">
        <v>2342</v>
      </c>
      <c r="D1003" s="563"/>
    </row>
    <row r="1004" spans="1:4" s="495" customFormat="1" x14ac:dyDescent="0.25">
      <c r="A1004" s="340"/>
      <c r="B1004" s="351" t="s">
        <v>239</v>
      </c>
      <c r="C1004" s="453"/>
      <c r="D1004" s="498"/>
    </row>
    <row r="1005" spans="1:4" s="495" customFormat="1" x14ac:dyDescent="0.25">
      <c r="A1005" s="352">
        <v>1</v>
      </c>
      <c r="B1005" s="359" t="s">
        <v>488</v>
      </c>
      <c r="C1005" s="338" t="s">
        <v>971</v>
      </c>
      <c r="D1005" s="498"/>
    </row>
    <row r="1006" spans="1:4" s="495" customFormat="1" x14ac:dyDescent="0.25">
      <c r="A1006" s="352">
        <v>2</v>
      </c>
      <c r="B1006" s="350" t="s">
        <v>240</v>
      </c>
      <c r="C1006" s="338" t="s">
        <v>972</v>
      </c>
      <c r="D1006" s="498"/>
    </row>
    <row r="1007" spans="1:4" s="495" customFormat="1" x14ac:dyDescent="0.25">
      <c r="A1007" s="352">
        <v>3</v>
      </c>
      <c r="B1007" s="350" t="s">
        <v>595</v>
      </c>
      <c r="C1007" s="338" t="s">
        <v>973</v>
      </c>
      <c r="D1007" s="498"/>
    </row>
    <row r="1008" spans="1:4" s="495" customFormat="1" x14ac:dyDescent="0.25">
      <c r="A1008" s="334">
        <v>4</v>
      </c>
      <c r="B1008" s="350" t="s">
        <v>44</v>
      </c>
      <c r="C1008" s="338" t="s">
        <v>1020</v>
      </c>
      <c r="D1008" s="498"/>
    </row>
    <row r="1009" spans="1:4" s="495" customFormat="1" x14ac:dyDescent="0.25">
      <c r="A1009" s="340">
        <v>5</v>
      </c>
      <c r="B1009" s="350" t="s">
        <v>45</v>
      </c>
      <c r="C1009" s="338" t="s">
        <v>1021</v>
      </c>
      <c r="D1009" s="498"/>
    </row>
    <row r="1010" spans="1:4" s="495" customFormat="1" x14ac:dyDescent="0.25">
      <c r="A1010" s="340"/>
      <c r="B1010" s="351" t="s">
        <v>235</v>
      </c>
      <c r="C1010" s="385"/>
      <c r="D1010" s="498"/>
    </row>
    <row r="1011" spans="1:4" s="495" customFormat="1" x14ac:dyDescent="0.25">
      <c r="A1011" s="352">
        <v>1</v>
      </c>
      <c r="B1011" s="349" t="s">
        <v>236</v>
      </c>
      <c r="C1011" s="338" t="s">
        <v>2329</v>
      </c>
      <c r="D1011" s="498"/>
    </row>
    <row r="1012" spans="1:4" s="495" customFormat="1" x14ac:dyDescent="0.25">
      <c r="A1012" s="352">
        <v>2</v>
      </c>
      <c r="B1012" s="350" t="s">
        <v>237</v>
      </c>
      <c r="C1012" s="338" t="s">
        <v>2330</v>
      </c>
      <c r="D1012" s="498"/>
    </row>
    <row r="1013" spans="1:4" s="495" customFormat="1" x14ac:dyDescent="0.25">
      <c r="A1013" s="352">
        <v>3</v>
      </c>
      <c r="B1013" s="353" t="s">
        <v>53</v>
      </c>
      <c r="C1013" s="338" t="s">
        <v>2331</v>
      </c>
      <c r="D1013" s="498"/>
    </row>
    <row r="1014" spans="1:4" s="495" customFormat="1" x14ac:dyDescent="0.25">
      <c r="A1014" s="352">
        <v>4</v>
      </c>
      <c r="B1014" s="350" t="s">
        <v>238</v>
      </c>
      <c r="C1014" s="338" t="s">
        <v>2332</v>
      </c>
      <c r="D1014" s="498"/>
    </row>
    <row r="1015" spans="1:4" s="495" customFormat="1" x14ac:dyDescent="0.25">
      <c r="A1015" s="352">
        <v>5</v>
      </c>
      <c r="B1015" s="350" t="s">
        <v>297</v>
      </c>
      <c r="C1015" s="338" t="s">
        <v>978</v>
      </c>
      <c r="D1015" s="498"/>
    </row>
    <row r="1016" spans="1:4" s="587" customFormat="1" ht="26.25" x14ac:dyDescent="0.25">
      <c r="A1016" s="617">
        <v>7</v>
      </c>
      <c r="B1016" s="473" t="s">
        <v>45</v>
      </c>
      <c r="C1016" s="338" t="s">
        <v>2333</v>
      </c>
      <c r="D1016" s="664" t="s">
        <v>2090</v>
      </c>
    </row>
    <row r="1017" spans="1:4" s="495" customFormat="1" x14ac:dyDescent="0.25">
      <c r="A1017" s="352">
        <v>8</v>
      </c>
      <c r="B1017" s="353" t="s">
        <v>253</v>
      </c>
      <c r="C1017" s="338" t="s">
        <v>2334</v>
      </c>
      <c r="D1017" s="563"/>
    </row>
    <row r="1018" spans="1:4" s="495" customFormat="1" x14ac:dyDescent="0.25">
      <c r="A1018" s="352">
        <v>9</v>
      </c>
      <c r="B1018" s="353" t="s">
        <v>653</v>
      </c>
      <c r="C1018" s="385" t="s">
        <v>1691</v>
      </c>
      <c r="D1018" s="563"/>
    </row>
    <row r="1019" spans="1:4" s="495" customFormat="1" x14ac:dyDescent="0.25">
      <c r="A1019" s="334"/>
      <c r="B1019" s="351" t="s">
        <v>245</v>
      </c>
      <c r="C1019" s="453"/>
      <c r="D1019" s="498"/>
    </row>
    <row r="1020" spans="1:4" s="495" customFormat="1" x14ac:dyDescent="0.25">
      <c r="A1020" s="334">
        <v>1</v>
      </c>
      <c r="B1020" s="353" t="s">
        <v>53</v>
      </c>
      <c r="C1020" s="338" t="s">
        <v>980</v>
      </c>
      <c r="D1020" s="498"/>
    </row>
    <row r="1021" spans="1:4" s="495" customFormat="1" x14ac:dyDescent="0.25">
      <c r="A1021" s="334">
        <v>2</v>
      </c>
      <c r="B1021" s="335" t="s">
        <v>246</v>
      </c>
      <c r="C1021" s="338" t="s">
        <v>981</v>
      </c>
      <c r="D1021" s="498"/>
    </row>
    <row r="1022" spans="1:4" s="495" customFormat="1" x14ac:dyDescent="0.25">
      <c r="A1022" s="334">
        <v>3</v>
      </c>
      <c r="B1022" s="335" t="s">
        <v>45</v>
      </c>
      <c r="C1022" s="338" t="s">
        <v>982</v>
      </c>
      <c r="D1022" s="498"/>
    </row>
    <row r="1023" spans="1:4" s="495" customFormat="1" x14ac:dyDescent="0.25">
      <c r="A1023" s="334">
        <v>4</v>
      </c>
      <c r="B1023" s="353" t="s">
        <v>653</v>
      </c>
      <c r="C1023" s="338" t="s">
        <v>1691</v>
      </c>
      <c r="D1023" s="563"/>
    </row>
    <row r="1024" spans="1:4" s="495" customFormat="1" x14ac:dyDescent="0.25">
      <c r="A1024" s="334"/>
      <c r="B1024" s="354" t="s">
        <v>247</v>
      </c>
      <c r="C1024" s="453"/>
      <c r="D1024" s="498"/>
    </row>
    <row r="1025" spans="1:4" s="495" customFormat="1" x14ac:dyDescent="0.25">
      <c r="A1025" s="352">
        <v>1</v>
      </c>
      <c r="B1025" s="349" t="s">
        <v>248</v>
      </c>
      <c r="C1025" s="338" t="s">
        <v>983</v>
      </c>
      <c r="D1025" s="498"/>
    </row>
    <row r="1026" spans="1:4" s="495" customFormat="1" x14ac:dyDescent="0.25">
      <c r="A1026" s="352">
        <v>2</v>
      </c>
      <c r="B1026" s="349" t="s">
        <v>249</v>
      </c>
      <c r="C1026" s="338" t="s">
        <v>984</v>
      </c>
      <c r="D1026" s="498"/>
    </row>
    <row r="1027" spans="1:4" s="495" customFormat="1" x14ac:dyDescent="0.25">
      <c r="A1027" s="340"/>
      <c r="B1027" s="354" t="s">
        <v>98</v>
      </c>
      <c r="C1027" s="338"/>
      <c r="D1027" s="498"/>
    </row>
    <row r="1028" spans="1:4" s="495" customFormat="1" x14ac:dyDescent="0.25">
      <c r="A1028" s="369">
        <v>3</v>
      </c>
      <c r="B1028" s="335" t="s">
        <v>100</v>
      </c>
      <c r="C1028" s="338" t="s">
        <v>985</v>
      </c>
      <c r="D1028" s="498"/>
    </row>
    <row r="1029" spans="1:4" s="587" customFormat="1" ht="26.25" x14ac:dyDescent="0.25">
      <c r="A1029" s="617">
        <v>5</v>
      </c>
      <c r="B1029" s="618" t="s">
        <v>299</v>
      </c>
      <c r="C1029" s="599" t="s">
        <v>1337</v>
      </c>
      <c r="D1029" s="608" t="s">
        <v>1386</v>
      </c>
    </row>
    <row r="1030" spans="1:4" s="495" customFormat="1" x14ac:dyDescent="0.25">
      <c r="A1030" s="352">
        <v>7</v>
      </c>
      <c r="B1030" s="335" t="s">
        <v>102</v>
      </c>
      <c r="C1030" s="338" t="s">
        <v>1026</v>
      </c>
      <c r="D1030" s="498"/>
    </row>
    <row r="1031" spans="1:4" s="495" customFormat="1" x14ac:dyDescent="0.25">
      <c r="A1031" s="352">
        <v>9</v>
      </c>
      <c r="B1031" s="335" t="s">
        <v>103</v>
      </c>
      <c r="C1031" s="338" t="s">
        <v>988</v>
      </c>
      <c r="D1031" s="498"/>
    </row>
    <row r="1032" spans="1:4" s="495" customFormat="1" x14ac:dyDescent="0.25">
      <c r="A1032" s="352">
        <v>10</v>
      </c>
      <c r="B1032" s="335" t="s">
        <v>316</v>
      </c>
      <c r="C1032" s="338" t="s">
        <v>989</v>
      </c>
      <c r="D1032" s="498"/>
    </row>
    <row r="1033" spans="1:4" s="495" customFormat="1" x14ac:dyDescent="0.25">
      <c r="A1033" s="352">
        <v>11</v>
      </c>
      <c r="B1033" s="335" t="s">
        <v>106</v>
      </c>
      <c r="C1033" s="338" t="s">
        <v>990</v>
      </c>
      <c r="D1033" s="498"/>
    </row>
    <row r="1034" spans="1:4" s="495" customFormat="1" x14ac:dyDescent="0.25">
      <c r="A1034" s="352">
        <v>12</v>
      </c>
      <c r="B1034" s="335" t="s">
        <v>105</v>
      </c>
      <c r="C1034" s="338" t="s">
        <v>991</v>
      </c>
      <c r="D1034" s="498"/>
    </row>
    <row r="1035" spans="1:4" s="495" customFormat="1" x14ac:dyDescent="0.25">
      <c r="A1035" s="352">
        <v>13</v>
      </c>
      <c r="B1035" s="349" t="s">
        <v>543</v>
      </c>
      <c r="C1035" s="385" t="s">
        <v>1693</v>
      </c>
      <c r="D1035" s="498"/>
    </row>
    <row r="1036" spans="1:4" s="495" customFormat="1" x14ac:dyDescent="0.25">
      <c r="A1036" s="352">
        <v>14</v>
      </c>
      <c r="B1036" s="349" t="s">
        <v>477</v>
      </c>
      <c r="C1036" s="385" t="s">
        <v>1694</v>
      </c>
      <c r="D1036" s="498"/>
    </row>
    <row r="1037" spans="1:4" s="495" customFormat="1" x14ac:dyDescent="0.25">
      <c r="A1037" s="352">
        <v>15</v>
      </c>
      <c r="B1037" s="349" t="s">
        <v>544</v>
      </c>
      <c r="C1037" s="338" t="s">
        <v>1094</v>
      </c>
      <c r="D1037" s="498"/>
    </row>
    <row r="1038" spans="1:4" s="495" customFormat="1" x14ac:dyDescent="0.25">
      <c r="A1038" s="352">
        <v>16</v>
      </c>
      <c r="B1038" s="350" t="s">
        <v>104</v>
      </c>
      <c r="C1038" s="338" t="s">
        <v>992</v>
      </c>
      <c r="D1038" s="498"/>
    </row>
    <row r="1039" spans="1:4" s="495" customFormat="1" x14ac:dyDescent="0.25">
      <c r="A1039" s="352">
        <v>17</v>
      </c>
      <c r="B1039" s="339" t="s">
        <v>664</v>
      </c>
      <c r="C1039" s="385" t="s">
        <v>1193</v>
      </c>
      <c r="D1039" s="498"/>
    </row>
    <row r="1040" spans="1:4" s="495" customFormat="1" x14ac:dyDescent="0.25">
      <c r="A1040" s="352">
        <v>18</v>
      </c>
      <c r="B1040" s="350" t="s">
        <v>108</v>
      </c>
      <c r="C1040" s="385" t="s">
        <v>1695</v>
      </c>
      <c r="D1040" s="562"/>
    </row>
    <row r="1041" spans="1:4" s="495" customFormat="1" x14ac:dyDescent="0.25">
      <c r="A1041" s="340"/>
      <c r="B1041" s="351" t="s">
        <v>300</v>
      </c>
      <c r="C1041" s="385"/>
      <c r="D1041" s="498"/>
    </row>
    <row r="1042" spans="1:4" s="495" customFormat="1" x14ac:dyDescent="0.25">
      <c r="A1042" s="352">
        <v>19</v>
      </c>
      <c r="B1042" s="353" t="s">
        <v>257</v>
      </c>
      <c r="C1042" s="338" t="s">
        <v>993</v>
      </c>
      <c r="D1042" s="498"/>
    </row>
    <row r="1043" spans="1:4" s="495" customFormat="1" x14ac:dyDescent="0.25">
      <c r="A1043" s="352">
        <v>20</v>
      </c>
      <c r="B1043" s="350" t="s">
        <v>258</v>
      </c>
      <c r="C1043" s="338" t="s">
        <v>994</v>
      </c>
      <c r="D1043" s="498"/>
    </row>
    <row r="1044" spans="1:4" s="495" customFormat="1" x14ac:dyDescent="0.25">
      <c r="A1044" s="369">
        <v>21</v>
      </c>
      <c r="B1044" s="335" t="s">
        <v>259</v>
      </c>
      <c r="C1044" s="338" t="s">
        <v>1029</v>
      </c>
      <c r="D1044" s="498"/>
    </row>
    <row r="1045" spans="1:4" s="495" customFormat="1" x14ac:dyDescent="0.25">
      <c r="A1045" s="352">
        <v>22</v>
      </c>
      <c r="B1045" s="335" t="s">
        <v>260</v>
      </c>
      <c r="C1045" s="338" t="s">
        <v>1030</v>
      </c>
      <c r="D1045" s="498"/>
    </row>
    <row r="1046" spans="1:4" s="495" customFormat="1" x14ac:dyDescent="0.25">
      <c r="A1046" s="352">
        <v>23</v>
      </c>
      <c r="B1046" s="335" t="s">
        <v>106</v>
      </c>
      <c r="C1046" s="338" t="s">
        <v>1031</v>
      </c>
      <c r="D1046" s="498"/>
    </row>
    <row r="1047" spans="1:4" s="495" customFormat="1" ht="15.75" x14ac:dyDescent="0.25">
      <c r="A1047" s="340"/>
      <c r="B1047" s="380" t="s">
        <v>620</v>
      </c>
      <c r="C1047" s="453"/>
      <c r="D1047" s="498"/>
    </row>
    <row r="1048" spans="1:4" s="495" customFormat="1" x14ac:dyDescent="0.25">
      <c r="A1048" s="364" t="s">
        <v>546</v>
      </c>
      <c r="B1048" s="489"/>
      <c r="C1048" s="453"/>
      <c r="D1048" s="498"/>
    </row>
    <row r="1049" spans="1:4" s="495" customFormat="1" ht="15.75" x14ac:dyDescent="0.25">
      <c r="A1049" s="450"/>
      <c r="B1049" s="490" t="s">
        <v>39</v>
      </c>
      <c r="C1049" s="446"/>
      <c r="D1049" s="498"/>
    </row>
    <row r="1050" spans="1:4" s="495" customFormat="1" x14ac:dyDescent="0.25">
      <c r="A1050" s="488">
        <v>1</v>
      </c>
      <c r="B1050" s="492" t="s">
        <v>209</v>
      </c>
      <c r="C1050" s="338" t="s">
        <v>1107</v>
      </c>
      <c r="D1050" s="498"/>
    </row>
    <row r="1051" spans="1:4" s="495" customFormat="1" x14ac:dyDescent="0.25">
      <c r="A1051" s="488">
        <v>3</v>
      </c>
      <c r="B1051" s="349" t="s">
        <v>94</v>
      </c>
      <c r="C1051" s="338" t="s">
        <v>1108</v>
      </c>
      <c r="D1051" s="498"/>
    </row>
    <row r="1052" spans="1:4" s="495" customFormat="1" x14ac:dyDescent="0.25">
      <c r="A1052" s="488"/>
      <c r="B1052" s="349" t="s">
        <v>1853</v>
      </c>
      <c r="C1052" s="338" t="s">
        <v>2335</v>
      </c>
      <c r="D1052" s="498"/>
    </row>
    <row r="1053" spans="1:4" s="495" customFormat="1" x14ac:dyDescent="0.25">
      <c r="A1053" s="488">
        <v>4</v>
      </c>
      <c r="B1053" s="376" t="s">
        <v>96</v>
      </c>
      <c r="C1053" s="338" t="s">
        <v>1402</v>
      </c>
      <c r="D1053" s="498"/>
    </row>
    <row r="1054" spans="1:4" s="495" customFormat="1" ht="15.75" x14ac:dyDescent="0.25">
      <c r="A1054" s="493">
        <v>6</v>
      </c>
      <c r="B1054" s="350" t="s">
        <v>661</v>
      </c>
      <c r="C1054" s="338" t="s">
        <v>1696</v>
      </c>
      <c r="D1054" s="563"/>
    </row>
    <row r="1055" spans="1:4" s="495" customFormat="1" ht="15.75" x14ac:dyDescent="0.25">
      <c r="A1055" s="450"/>
      <c r="B1055" s="530" t="s">
        <v>77</v>
      </c>
      <c r="C1055" s="446"/>
      <c r="D1055" s="498"/>
    </row>
    <row r="1056" spans="1:4" s="495" customFormat="1" ht="15.75" x14ac:dyDescent="0.25">
      <c r="A1056" s="493">
        <v>1</v>
      </c>
      <c r="B1056" s="349" t="s">
        <v>554</v>
      </c>
      <c r="C1056" s="338" t="s">
        <v>1112</v>
      </c>
      <c r="D1056" s="498"/>
    </row>
    <row r="1057" spans="1:4" s="495" customFormat="1" ht="15.75" x14ac:dyDescent="0.25">
      <c r="A1057" s="493">
        <v>2</v>
      </c>
      <c r="B1057" s="349" t="s">
        <v>79</v>
      </c>
      <c r="C1057" s="338" t="s">
        <v>1113</v>
      </c>
      <c r="D1057" s="498"/>
    </row>
    <row r="1058" spans="1:4" s="495" customFormat="1" ht="15.75" x14ac:dyDescent="0.25">
      <c r="A1058" s="493"/>
      <c r="B1058" s="349" t="s">
        <v>1853</v>
      </c>
      <c r="C1058" s="338" t="s">
        <v>2336</v>
      </c>
      <c r="D1058" s="498"/>
    </row>
    <row r="1059" spans="1:4" s="495" customFormat="1" ht="15.75" x14ac:dyDescent="0.25">
      <c r="A1059" s="450"/>
      <c r="B1059" s="530" t="s">
        <v>89</v>
      </c>
      <c r="C1059" s="446"/>
      <c r="D1059" s="498"/>
    </row>
    <row r="1060" spans="1:4" s="495" customFormat="1" ht="15.75" x14ac:dyDescent="0.25">
      <c r="A1060" s="493" t="s">
        <v>61</v>
      </c>
      <c r="B1060" s="349" t="s">
        <v>90</v>
      </c>
      <c r="C1060" s="338" t="s">
        <v>1110</v>
      </c>
      <c r="D1060" s="498"/>
    </row>
    <row r="1061" spans="1:4" s="495" customFormat="1" ht="15.75" x14ac:dyDescent="0.25">
      <c r="A1061" s="493"/>
      <c r="B1061" s="349" t="s">
        <v>64</v>
      </c>
      <c r="C1061" s="338" t="s">
        <v>1111</v>
      </c>
      <c r="D1061" s="498"/>
    </row>
    <row r="1062" spans="1:4" s="495" customFormat="1" ht="15.75" x14ac:dyDescent="0.25">
      <c r="A1062" s="450"/>
      <c r="B1062" s="530" t="s">
        <v>540</v>
      </c>
      <c r="C1062" s="446"/>
      <c r="D1062" s="498"/>
    </row>
    <row r="1063" spans="1:4" s="495" customFormat="1" ht="15.75" x14ac:dyDescent="0.25">
      <c r="A1063" s="493" t="s">
        <v>61</v>
      </c>
      <c r="B1063" s="349" t="s">
        <v>621</v>
      </c>
      <c r="C1063" s="338" t="s">
        <v>1114</v>
      </c>
      <c r="D1063" s="498"/>
    </row>
    <row r="1064" spans="1:4" s="495" customFormat="1" ht="15.75" x14ac:dyDescent="0.25">
      <c r="A1064" s="493" t="s">
        <v>63</v>
      </c>
      <c r="B1064" s="349" t="s">
        <v>79</v>
      </c>
      <c r="C1064" s="338" t="s">
        <v>1115</v>
      </c>
      <c r="D1064" s="498"/>
    </row>
    <row r="1065" spans="1:4" s="495" customFormat="1" ht="15.75" x14ac:dyDescent="0.25">
      <c r="A1065" s="450"/>
      <c r="B1065" s="530" t="s">
        <v>155</v>
      </c>
      <c r="C1065" s="446"/>
      <c r="D1065" s="498"/>
    </row>
    <row r="1066" spans="1:4" s="587" customFormat="1" ht="26.25" x14ac:dyDescent="0.25">
      <c r="A1066" s="619">
        <v>1</v>
      </c>
      <c r="B1066" s="615" t="s">
        <v>32</v>
      </c>
      <c r="C1066" s="471" t="s">
        <v>1337</v>
      </c>
      <c r="D1066" s="601" t="s">
        <v>2102</v>
      </c>
    </row>
    <row r="1067" spans="1:4" s="495" customFormat="1" ht="15.75" x14ac:dyDescent="0.25">
      <c r="A1067" s="493">
        <v>3</v>
      </c>
      <c r="B1067" s="349" t="s">
        <v>210</v>
      </c>
      <c r="C1067" s="338" t="s">
        <v>1116</v>
      </c>
      <c r="D1067" s="498"/>
    </row>
    <row r="1068" spans="1:4" s="495" customFormat="1" x14ac:dyDescent="0.25">
      <c r="A1068" s="354" t="s">
        <v>227</v>
      </c>
      <c r="B1068" s="354"/>
      <c r="C1068" s="530"/>
      <c r="D1068" s="568"/>
    </row>
    <row r="1069" spans="1:4" s="495" customFormat="1" ht="26.25" x14ac:dyDescent="0.25">
      <c r="A1069" s="340">
        <v>1</v>
      </c>
      <c r="B1069" s="349" t="s">
        <v>228</v>
      </c>
      <c r="C1069" s="494" t="s">
        <v>1235</v>
      </c>
      <c r="D1069" s="568"/>
    </row>
    <row r="1070" spans="1:4" s="495" customFormat="1" x14ac:dyDescent="0.25">
      <c r="A1070" s="340">
        <v>2</v>
      </c>
      <c r="B1070" s="350" t="s">
        <v>230</v>
      </c>
      <c r="C1070" s="494" t="s">
        <v>1236</v>
      </c>
      <c r="D1070" s="568"/>
    </row>
    <row r="1071" spans="1:4" s="495" customFormat="1" x14ac:dyDescent="0.25">
      <c r="A1071" s="340">
        <v>3</v>
      </c>
      <c r="B1071" s="349" t="s">
        <v>231</v>
      </c>
      <c r="C1071" s="494" t="s">
        <v>1237</v>
      </c>
      <c r="D1071" s="568"/>
    </row>
    <row r="1072" spans="1:4" s="495" customFormat="1" x14ac:dyDescent="0.25">
      <c r="A1072" s="340">
        <v>4</v>
      </c>
      <c r="B1072" s="350" t="s">
        <v>66</v>
      </c>
      <c r="C1072" s="494" t="s">
        <v>1238</v>
      </c>
      <c r="D1072" s="568"/>
    </row>
    <row r="1073" spans="1:4" s="495" customFormat="1" x14ac:dyDescent="0.25">
      <c r="A1073" s="340">
        <v>5</v>
      </c>
      <c r="B1073" s="350" t="s">
        <v>59</v>
      </c>
      <c r="C1073" s="494" t="s">
        <v>1239</v>
      </c>
      <c r="D1073" s="568"/>
    </row>
    <row r="1074" spans="1:4" s="495" customFormat="1" x14ac:dyDescent="0.25">
      <c r="A1074" s="340">
        <v>6</v>
      </c>
      <c r="B1074" s="350" t="s">
        <v>232</v>
      </c>
      <c r="C1074" s="494" t="s">
        <v>1240</v>
      </c>
      <c r="D1074" s="568"/>
    </row>
    <row r="1075" spans="1:4" s="495" customFormat="1" x14ac:dyDescent="0.25">
      <c r="A1075" s="340">
        <v>7</v>
      </c>
      <c r="B1075" s="350" t="s">
        <v>53</v>
      </c>
      <c r="C1075" s="494" t="s">
        <v>1241</v>
      </c>
      <c r="D1075" s="568"/>
    </row>
    <row r="1076" spans="1:4" s="495" customFormat="1" x14ac:dyDescent="0.25">
      <c r="A1076" s="340">
        <v>8</v>
      </c>
      <c r="B1076" s="350" t="s">
        <v>233</v>
      </c>
      <c r="C1076" s="494" t="s">
        <v>1248</v>
      </c>
      <c r="D1076" s="568"/>
    </row>
    <row r="1077" spans="1:4" s="495" customFormat="1" x14ac:dyDescent="0.25">
      <c r="A1077" s="340">
        <v>9</v>
      </c>
      <c r="B1077" s="349" t="s">
        <v>64</v>
      </c>
      <c r="C1077" s="494" t="s">
        <v>1242</v>
      </c>
      <c r="D1077" s="568"/>
    </row>
    <row r="1078" spans="1:4" s="495" customFormat="1" x14ac:dyDescent="0.25">
      <c r="A1078" s="340">
        <v>10</v>
      </c>
      <c r="B1078" s="349" t="s">
        <v>210</v>
      </c>
      <c r="C1078" s="494" t="s">
        <v>1243</v>
      </c>
      <c r="D1078" s="568"/>
    </row>
    <row r="1079" spans="1:4" s="495" customFormat="1" x14ac:dyDescent="0.25">
      <c r="A1079" s="340">
        <v>11</v>
      </c>
      <c r="B1079" s="350" t="s">
        <v>213</v>
      </c>
      <c r="C1079" s="494" t="s">
        <v>1244</v>
      </c>
      <c r="D1079" s="568"/>
    </row>
    <row r="1080" spans="1:4" s="495" customFormat="1" x14ac:dyDescent="0.25">
      <c r="A1080" s="340">
        <v>12</v>
      </c>
      <c r="B1080" s="350" t="s">
        <v>595</v>
      </c>
      <c r="C1080" s="494" t="s">
        <v>1246</v>
      </c>
      <c r="D1080" s="568"/>
    </row>
    <row r="1081" spans="1:4" s="495" customFormat="1" x14ac:dyDescent="0.25">
      <c r="A1081" s="340">
        <v>13</v>
      </c>
      <c r="B1081" s="350" t="s">
        <v>234</v>
      </c>
      <c r="C1081" s="494" t="s">
        <v>1247</v>
      </c>
      <c r="D1081" s="568"/>
    </row>
    <row r="1082" spans="1:4" s="495" customFormat="1" x14ac:dyDescent="0.25">
      <c r="A1082" s="340">
        <v>14</v>
      </c>
      <c r="B1082" s="350" t="s">
        <v>94</v>
      </c>
      <c r="C1082" s="494" t="s">
        <v>1245</v>
      </c>
      <c r="D1082" s="568"/>
    </row>
    <row r="1083" spans="1:4" s="495" customFormat="1" x14ac:dyDescent="0.25">
      <c r="A1083" s="340">
        <v>15</v>
      </c>
      <c r="B1083" s="350" t="s">
        <v>44</v>
      </c>
      <c r="C1083" s="494" t="s">
        <v>1249</v>
      </c>
      <c r="D1083" s="568"/>
    </row>
    <row r="1084" spans="1:4" s="495" customFormat="1" x14ac:dyDescent="0.25">
      <c r="A1084" s="340">
        <v>16</v>
      </c>
      <c r="B1084" s="350" t="s">
        <v>45</v>
      </c>
      <c r="C1084" s="494" t="s">
        <v>1250</v>
      </c>
      <c r="D1084" s="568"/>
    </row>
    <row r="1085" spans="1:4" s="495" customFormat="1" x14ac:dyDescent="0.25">
      <c r="A1085" s="340">
        <v>17</v>
      </c>
      <c r="B1085" s="353" t="s">
        <v>253</v>
      </c>
      <c r="C1085" s="494" t="s">
        <v>1697</v>
      </c>
      <c r="D1085" s="563"/>
    </row>
    <row r="1086" spans="1:4" s="495" customFormat="1" x14ac:dyDescent="0.25">
      <c r="A1086" s="340">
        <v>18</v>
      </c>
      <c r="B1086" s="593" t="s">
        <v>487</v>
      </c>
      <c r="C1086" s="494" t="s">
        <v>1698</v>
      </c>
      <c r="D1086" s="336"/>
    </row>
    <row r="1087" spans="1:4" s="495" customFormat="1" x14ac:dyDescent="0.25">
      <c r="A1087" s="340">
        <v>19</v>
      </c>
      <c r="B1087" s="353" t="s">
        <v>653</v>
      </c>
      <c r="C1087" s="494" t="s">
        <v>1699</v>
      </c>
      <c r="D1087" s="563"/>
    </row>
    <row r="1088" spans="1:4" s="495" customFormat="1" x14ac:dyDescent="0.25">
      <c r="A1088" s="370"/>
      <c r="B1088" s="354" t="s">
        <v>1150</v>
      </c>
      <c r="C1088" s="453"/>
      <c r="D1088" s="498"/>
    </row>
    <row r="1089" spans="1:4" s="495" customFormat="1" x14ac:dyDescent="0.25">
      <c r="A1089" s="340" t="s">
        <v>61</v>
      </c>
      <c r="B1089" s="349" t="s">
        <v>328</v>
      </c>
      <c r="C1089" s="338" t="s">
        <v>1151</v>
      </c>
      <c r="D1089" s="498"/>
    </row>
    <row r="1090" spans="1:4" s="495" customFormat="1" x14ac:dyDescent="0.25">
      <c r="A1090" s="340" t="s">
        <v>63</v>
      </c>
      <c r="B1090" s="350" t="s">
        <v>294</v>
      </c>
      <c r="C1090" s="338" t="s">
        <v>1152</v>
      </c>
      <c r="D1090" s="498"/>
    </row>
    <row r="1091" spans="1:4" s="495" customFormat="1" x14ac:dyDescent="0.25">
      <c r="A1091" s="340">
        <v>3</v>
      </c>
      <c r="B1091" s="350" t="s">
        <v>53</v>
      </c>
      <c r="C1091" s="338" t="s">
        <v>1153</v>
      </c>
      <c r="D1091" s="498"/>
    </row>
    <row r="1092" spans="1:4" s="495" customFormat="1" x14ac:dyDescent="0.25">
      <c r="A1092" s="340">
        <v>4</v>
      </c>
      <c r="B1092" s="349" t="s">
        <v>295</v>
      </c>
      <c r="C1092" s="338" t="s">
        <v>1154</v>
      </c>
      <c r="D1092" s="568"/>
    </row>
    <row r="1093" spans="1:4" s="495" customFormat="1" x14ac:dyDescent="0.25">
      <c r="A1093" s="340">
        <v>5</v>
      </c>
      <c r="B1093" s="350" t="s">
        <v>234</v>
      </c>
      <c r="C1093" s="338" t="s">
        <v>1155</v>
      </c>
      <c r="D1093" s="565"/>
    </row>
    <row r="1094" spans="1:4" s="495" customFormat="1" x14ac:dyDescent="0.25">
      <c r="A1094" s="340">
        <v>6</v>
      </c>
      <c r="B1094" s="350" t="s">
        <v>44</v>
      </c>
      <c r="C1094" s="338" t="s">
        <v>1156</v>
      </c>
      <c r="D1094" s="565"/>
    </row>
    <row r="1095" spans="1:4" s="495" customFormat="1" x14ac:dyDescent="0.25">
      <c r="A1095" s="334">
        <v>7</v>
      </c>
      <c r="B1095" s="350" t="s">
        <v>45</v>
      </c>
      <c r="C1095" s="338" t="s">
        <v>1157</v>
      </c>
      <c r="D1095" s="565"/>
    </row>
    <row r="1096" spans="1:4" s="495" customFormat="1" x14ac:dyDescent="0.25">
      <c r="A1096" s="370"/>
      <c r="B1096" s="351" t="s">
        <v>330</v>
      </c>
      <c r="C1096" s="453"/>
      <c r="D1096" s="565"/>
    </row>
    <row r="1097" spans="1:4" s="495" customFormat="1" x14ac:dyDescent="0.25">
      <c r="A1097" s="334">
        <v>1</v>
      </c>
      <c r="B1097" s="359" t="s">
        <v>331</v>
      </c>
      <c r="C1097" s="338" t="s">
        <v>2037</v>
      </c>
      <c r="D1097" s="562"/>
    </row>
    <row r="1098" spans="1:4" s="587" customFormat="1" ht="29.25" customHeight="1" x14ac:dyDescent="0.25">
      <c r="A1098" s="481">
        <v>2</v>
      </c>
      <c r="B1098" s="620" t="s">
        <v>189</v>
      </c>
      <c r="C1098" s="471" t="s">
        <v>1337</v>
      </c>
      <c r="D1098" s="607" t="s">
        <v>1398</v>
      </c>
    </row>
    <row r="1099" spans="1:4" s="495" customFormat="1" x14ac:dyDescent="0.25">
      <c r="A1099" s="354"/>
      <c r="B1099" s="368" t="s">
        <v>270</v>
      </c>
      <c r="C1099" s="453"/>
      <c r="D1099" s="565"/>
    </row>
    <row r="1100" spans="1:4" s="495" customFormat="1" x14ac:dyDescent="0.25">
      <c r="A1100" s="640">
        <v>3</v>
      </c>
      <c r="B1100" s="555" t="s">
        <v>332</v>
      </c>
      <c r="C1100" s="645" t="s">
        <v>2038</v>
      </c>
      <c r="D1100" s="562"/>
    </row>
    <row r="1101" spans="1:4" s="495" customFormat="1" x14ac:dyDescent="0.25">
      <c r="A1101" s="640">
        <v>4</v>
      </c>
      <c r="B1101" s="549" t="s">
        <v>272</v>
      </c>
      <c r="C1101" s="645" t="s">
        <v>2029</v>
      </c>
      <c r="D1101" s="562"/>
    </row>
    <row r="1102" spans="1:4" s="495" customFormat="1" x14ac:dyDescent="0.25">
      <c r="A1102" s="553">
        <v>5</v>
      </c>
      <c r="B1102" s="549" t="s">
        <v>333</v>
      </c>
      <c r="C1102" s="338" t="s">
        <v>1317</v>
      </c>
      <c r="D1102" s="562"/>
    </row>
    <row r="1103" spans="1:4" s="495" customFormat="1" x14ac:dyDescent="0.25">
      <c r="A1103" s="640">
        <v>6</v>
      </c>
      <c r="B1103" s="549" t="s">
        <v>274</v>
      </c>
      <c r="C1103" s="645" t="s">
        <v>2032</v>
      </c>
      <c r="D1103" s="562"/>
    </row>
    <row r="1104" spans="1:4" s="495" customFormat="1" x14ac:dyDescent="0.25">
      <c r="A1104" s="642"/>
      <c r="B1104" s="554"/>
      <c r="C1104" s="648"/>
      <c r="D1104" s="498"/>
    </row>
    <row r="1105" spans="1:4" s="495" customFormat="1" x14ac:dyDescent="0.25">
      <c r="A1105" s="640">
        <v>7</v>
      </c>
      <c r="B1105" s="549" t="s">
        <v>275</v>
      </c>
      <c r="C1105" s="645" t="s">
        <v>2030</v>
      </c>
      <c r="D1105" s="562"/>
    </row>
    <row r="1106" spans="1:4" s="495" customFormat="1" x14ac:dyDescent="0.25">
      <c r="A1106" s="641"/>
      <c r="B1106" s="550"/>
      <c r="C1106" s="649"/>
      <c r="D1106" s="497"/>
    </row>
    <row r="1107" spans="1:4" s="495" customFormat="1" x14ac:dyDescent="0.25">
      <c r="A1107" s="642"/>
      <c r="B1107" s="554"/>
      <c r="C1107" s="648"/>
      <c r="D1107" s="497"/>
    </row>
    <row r="1108" spans="1:4" s="495" customFormat="1" x14ac:dyDescent="0.25">
      <c r="A1108" s="640">
        <v>8</v>
      </c>
      <c r="B1108" s="549" t="s">
        <v>334</v>
      </c>
      <c r="C1108" s="645" t="s">
        <v>2031</v>
      </c>
      <c r="D1108" s="434"/>
    </row>
    <row r="1109" spans="1:4" s="495" customFormat="1" x14ac:dyDescent="0.25">
      <c r="A1109" s="641"/>
      <c r="B1109" s="550"/>
      <c r="C1109" s="649"/>
      <c r="D1109" s="497"/>
    </row>
    <row r="1110" spans="1:4" s="495" customFormat="1" x14ac:dyDescent="0.25">
      <c r="A1110" s="642"/>
      <c r="B1110" s="554"/>
      <c r="C1110" s="648"/>
      <c r="D1110" s="497"/>
    </row>
    <row r="1111" spans="1:4" s="495" customFormat="1" x14ac:dyDescent="0.25">
      <c r="A1111" s="340">
        <v>9</v>
      </c>
      <c r="B1111" s="350" t="s">
        <v>283</v>
      </c>
      <c r="C1111" s="338" t="s">
        <v>2033</v>
      </c>
      <c r="D1111" s="563"/>
    </row>
    <row r="1112" spans="1:4" s="495" customFormat="1" x14ac:dyDescent="0.25">
      <c r="A1112" s="340"/>
      <c r="B1112" s="350" t="s">
        <v>1712</v>
      </c>
      <c r="C1112" s="338" t="s">
        <v>2034</v>
      </c>
      <c r="D1112" s="563"/>
    </row>
    <row r="1113" spans="1:4" s="495" customFormat="1" x14ac:dyDescent="0.25">
      <c r="A1113" s="340">
        <v>12</v>
      </c>
      <c r="B1113" s="359" t="s">
        <v>253</v>
      </c>
      <c r="C1113" s="338" t="s">
        <v>2035</v>
      </c>
      <c r="D1113" s="563"/>
    </row>
    <row r="1114" spans="1:4" s="495" customFormat="1" x14ac:dyDescent="0.25">
      <c r="A1114" s="340">
        <v>13</v>
      </c>
      <c r="B1114" s="359" t="s">
        <v>661</v>
      </c>
      <c r="C1114" s="338" t="s">
        <v>2036</v>
      </c>
      <c r="D1114" s="563"/>
    </row>
    <row r="1115" spans="1:4" s="495" customFormat="1" x14ac:dyDescent="0.25">
      <c r="A1115" s="340"/>
      <c r="B1115" s="363" t="s">
        <v>336</v>
      </c>
      <c r="C1115" s="449"/>
      <c r="D1115" s="498"/>
    </row>
    <row r="1116" spans="1:4" s="495" customFormat="1" x14ac:dyDescent="0.25">
      <c r="A1116" s="484">
        <v>1</v>
      </c>
      <c r="B1116" s="349" t="s">
        <v>337</v>
      </c>
      <c r="C1116" s="338" t="s">
        <v>2020</v>
      </c>
      <c r="D1116" s="498"/>
    </row>
    <row r="1117" spans="1:4" s="495" customFormat="1" x14ac:dyDescent="0.25">
      <c r="A1117" s="643">
        <v>2</v>
      </c>
      <c r="B1117" s="549" t="s">
        <v>338</v>
      </c>
      <c r="C1117" s="645" t="s">
        <v>2021</v>
      </c>
      <c r="D1117" s="650"/>
    </row>
    <row r="1118" spans="1:4" s="495" customFormat="1" ht="5.25" customHeight="1" x14ac:dyDescent="0.25">
      <c r="A1118" s="644"/>
      <c r="B1118" s="550"/>
      <c r="C1118" s="646"/>
      <c r="D1118" s="651"/>
    </row>
    <row r="1119" spans="1:4" s="495" customFormat="1" ht="15" hidden="1" customHeight="1" x14ac:dyDescent="0.25">
      <c r="A1119" s="635"/>
      <c r="B1119" s="551"/>
      <c r="C1119" s="647"/>
      <c r="D1119" s="652"/>
    </row>
    <row r="1120" spans="1:4" s="495" customFormat="1" x14ac:dyDescent="0.25">
      <c r="A1120" s="484">
        <v>3</v>
      </c>
      <c r="B1120" s="350" t="s">
        <v>53</v>
      </c>
      <c r="C1120" s="338" t="s">
        <v>1575</v>
      </c>
      <c r="D1120" s="580"/>
    </row>
    <row r="1121" spans="1:4" s="495" customFormat="1" ht="15" customHeight="1" x14ac:dyDescent="0.25">
      <c r="A1121" s="556">
        <v>4</v>
      </c>
      <c r="B1121" s="544" t="s">
        <v>64</v>
      </c>
      <c r="C1121" s="645" t="s">
        <v>2028</v>
      </c>
      <c r="D1121" s="653"/>
    </row>
    <row r="1122" spans="1:4" s="495" customFormat="1" ht="6.75" customHeight="1" x14ac:dyDescent="0.25">
      <c r="A1122" s="557"/>
      <c r="B1122" s="545"/>
      <c r="C1122" s="646"/>
      <c r="D1122" s="651"/>
    </row>
    <row r="1123" spans="1:4" s="495" customFormat="1" ht="15" hidden="1" customHeight="1" x14ac:dyDescent="0.25">
      <c r="A1123" s="543"/>
      <c r="B1123" s="545"/>
      <c r="C1123" s="542"/>
      <c r="D1123" s="654"/>
    </row>
    <row r="1124" spans="1:4" s="495" customFormat="1" ht="15" hidden="1" customHeight="1" x14ac:dyDescent="0.25">
      <c r="A1124" s="543"/>
      <c r="B1124" s="545"/>
      <c r="C1124" s="542"/>
      <c r="D1124" s="654"/>
    </row>
    <row r="1125" spans="1:4" s="495" customFormat="1" ht="15" hidden="1" customHeight="1" x14ac:dyDescent="0.25">
      <c r="A1125" s="543"/>
      <c r="B1125" s="545"/>
      <c r="C1125" s="542"/>
      <c r="D1125" s="654"/>
    </row>
    <row r="1126" spans="1:4" s="495" customFormat="1" ht="24" customHeight="1" x14ac:dyDescent="0.25">
      <c r="A1126" s="558"/>
      <c r="B1126" s="546"/>
      <c r="C1126" s="647"/>
      <c r="D1126" s="652"/>
    </row>
    <row r="1127" spans="1:4" s="495" customFormat="1" x14ac:dyDescent="0.25">
      <c r="A1127" s="334">
        <v>6</v>
      </c>
      <c r="B1127" s="359" t="s">
        <v>661</v>
      </c>
      <c r="C1127" s="499" t="s">
        <v>2022</v>
      </c>
      <c r="D1127" s="498"/>
    </row>
    <row r="1128" spans="1:4" s="495" customFormat="1" ht="15.75" x14ac:dyDescent="0.25">
      <c r="A1128" s="340"/>
      <c r="B1128" s="520" t="s">
        <v>341</v>
      </c>
      <c r="C1128" s="453"/>
      <c r="D1128" s="498"/>
    </row>
    <row r="1129" spans="1:4" s="495" customFormat="1" x14ac:dyDescent="0.25">
      <c r="A1129" s="340"/>
      <c r="B1129" s="521" t="s">
        <v>185</v>
      </c>
      <c r="C1129" s="453"/>
      <c r="D1129" s="498"/>
    </row>
    <row r="1130" spans="1:4" s="495" customFormat="1" x14ac:dyDescent="0.25">
      <c r="A1130" s="334">
        <v>1</v>
      </c>
      <c r="B1130" s="339" t="s">
        <v>342</v>
      </c>
      <c r="C1130" s="452" t="s">
        <v>1676</v>
      </c>
      <c r="D1130" s="571"/>
    </row>
    <row r="1131" spans="1:4" s="495" customFormat="1" x14ac:dyDescent="0.25">
      <c r="A1131" s="334">
        <v>2</v>
      </c>
      <c r="B1131" s="339" t="s">
        <v>309</v>
      </c>
      <c r="C1131" s="452" t="s">
        <v>1703</v>
      </c>
      <c r="D1131" s="498"/>
    </row>
    <row r="1132" spans="1:4" s="495" customFormat="1" x14ac:dyDescent="0.25">
      <c r="A1132" s="340"/>
      <c r="B1132" s="354" t="s">
        <v>343</v>
      </c>
      <c r="C1132" s="453"/>
      <c r="D1132" s="498"/>
    </row>
    <row r="1133" spans="1:4" s="495" customFormat="1" x14ac:dyDescent="0.25">
      <c r="A1133" s="334">
        <v>1</v>
      </c>
      <c r="B1133" s="349" t="s">
        <v>344</v>
      </c>
      <c r="C1133" s="338" t="s">
        <v>2024</v>
      </c>
      <c r="D1133" s="571"/>
    </row>
    <row r="1134" spans="1:4" s="495" customFormat="1" x14ac:dyDescent="0.25">
      <c r="A1134" s="334">
        <v>2</v>
      </c>
      <c r="B1134" s="559" t="s">
        <v>345</v>
      </c>
      <c r="C1134" s="645" t="s">
        <v>2025</v>
      </c>
      <c r="D1134" s="653"/>
    </row>
    <row r="1135" spans="1:4" s="495" customFormat="1" ht="6" customHeight="1" x14ac:dyDescent="0.25">
      <c r="A1135" s="334"/>
      <c r="B1135" s="560"/>
      <c r="C1135" s="646"/>
      <c r="D1135" s="651"/>
    </row>
    <row r="1136" spans="1:4" s="495" customFormat="1" ht="15" hidden="1" customHeight="1" x14ac:dyDescent="0.25">
      <c r="A1136" s="334"/>
      <c r="B1136" s="560"/>
      <c r="C1136" s="646"/>
      <c r="D1136" s="651"/>
    </row>
    <row r="1137" spans="1:4" s="495" customFormat="1" ht="15" hidden="1" customHeight="1" x14ac:dyDescent="0.25">
      <c r="A1137" s="334"/>
      <c r="B1137" s="561"/>
      <c r="C1137" s="647"/>
      <c r="D1137" s="652"/>
    </row>
    <row r="1138" spans="1:4" s="495" customFormat="1" x14ac:dyDescent="0.25">
      <c r="A1138" s="484">
        <v>3</v>
      </c>
      <c r="B1138" s="335" t="s">
        <v>53</v>
      </c>
      <c r="C1138" s="451" t="s">
        <v>1678</v>
      </c>
      <c r="D1138" s="562"/>
    </row>
    <row r="1139" spans="1:4" s="495" customFormat="1" x14ac:dyDescent="0.25">
      <c r="A1139" s="631">
        <v>4</v>
      </c>
      <c r="B1139" s="549" t="s">
        <v>64</v>
      </c>
      <c r="C1139" s="645" t="s">
        <v>2026</v>
      </c>
      <c r="D1139" s="653"/>
    </row>
    <row r="1140" spans="1:4" s="495" customFormat="1" ht="3.75" hidden="1" customHeight="1" x14ac:dyDescent="0.25">
      <c r="A1140" s="632"/>
      <c r="B1140" s="554"/>
      <c r="C1140" s="647"/>
      <c r="D1140" s="652"/>
    </row>
    <row r="1141" spans="1:4" s="495" customFormat="1" x14ac:dyDescent="0.25">
      <c r="A1141" s="341">
        <v>7</v>
      </c>
      <c r="B1141" s="359" t="s">
        <v>253</v>
      </c>
      <c r="C1141" s="338" t="s">
        <v>1679</v>
      </c>
      <c r="D1141" s="568"/>
    </row>
    <row r="1142" spans="1:4" s="495" customFormat="1" x14ac:dyDescent="0.25">
      <c r="A1142" s="341">
        <v>8</v>
      </c>
      <c r="B1142" s="359" t="s">
        <v>661</v>
      </c>
      <c r="C1142" s="338" t="s">
        <v>2027</v>
      </c>
      <c r="D1142" s="568"/>
    </row>
    <row r="1143" spans="1:4" s="495" customFormat="1" x14ac:dyDescent="0.25">
      <c r="A1143" s="340"/>
      <c r="B1143" s="358" t="s">
        <v>347</v>
      </c>
      <c r="C1143" s="453"/>
      <c r="D1143" s="498"/>
    </row>
    <row r="1144" spans="1:4" s="495" customFormat="1" x14ac:dyDescent="0.25">
      <c r="A1144" s="484">
        <v>1</v>
      </c>
      <c r="B1144" s="350" t="s">
        <v>348</v>
      </c>
      <c r="C1144" s="452" t="s">
        <v>2066</v>
      </c>
      <c r="D1144" s="498"/>
    </row>
    <row r="1145" spans="1:4" s="495" customFormat="1" x14ac:dyDescent="0.25">
      <c r="A1145" s="556">
        <v>2</v>
      </c>
      <c r="B1145" s="549" t="s">
        <v>349</v>
      </c>
      <c r="C1145" s="452" t="s">
        <v>1042</v>
      </c>
      <c r="D1145" s="498"/>
    </row>
    <row r="1146" spans="1:4" s="495" customFormat="1" x14ac:dyDescent="0.25">
      <c r="A1146" s="558"/>
      <c r="B1146" s="554"/>
      <c r="C1146" s="452" t="s">
        <v>1298</v>
      </c>
      <c r="D1146" s="498"/>
    </row>
    <row r="1147" spans="1:4" s="495" customFormat="1" x14ac:dyDescent="0.25">
      <c r="A1147" s="484">
        <v>4</v>
      </c>
      <c r="B1147" s="350" t="s">
        <v>595</v>
      </c>
      <c r="C1147" s="452" t="s">
        <v>1299</v>
      </c>
      <c r="D1147" s="498"/>
    </row>
    <row r="1148" spans="1:4" s="495" customFormat="1" x14ac:dyDescent="0.25">
      <c r="A1148" s="629">
        <v>5</v>
      </c>
      <c r="B1148" s="630" t="s">
        <v>64</v>
      </c>
      <c r="C1148" s="452" t="s">
        <v>1044</v>
      </c>
      <c r="D1148" s="498"/>
    </row>
    <row r="1149" spans="1:4" s="495" customFormat="1" x14ac:dyDescent="0.25">
      <c r="A1149" s="629"/>
      <c r="B1149" s="630"/>
      <c r="C1149" s="452" t="s">
        <v>2067</v>
      </c>
      <c r="D1149" s="498"/>
    </row>
    <row r="1150" spans="1:4" s="495" customFormat="1" x14ac:dyDescent="0.25">
      <c r="A1150" s="341">
        <v>8</v>
      </c>
      <c r="B1150" s="359" t="s">
        <v>253</v>
      </c>
      <c r="C1150" s="338" t="s">
        <v>1290</v>
      </c>
      <c r="D1150" s="498"/>
    </row>
    <row r="1151" spans="1:4" s="495" customFormat="1" x14ac:dyDescent="0.25">
      <c r="A1151" s="341">
        <v>8</v>
      </c>
      <c r="B1151" s="359" t="s">
        <v>661</v>
      </c>
      <c r="C1151" s="338" t="s">
        <v>1291</v>
      </c>
      <c r="D1151" s="498"/>
    </row>
    <row r="1152" spans="1:4" s="495" customFormat="1" x14ac:dyDescent="0.25">
      <c r="A1152" s="340"/>
      <c r="B1152" s="363" t="s">
        <v>351</v>
      </c>
      <c r="C1152" s="453"/>
      <c r="D1152" s="498"/>
    </row>
    <row r="1153" spans="1:4" s="495" customFormat="1" x14ac:dyDescent="0.25">
      <c r="A1153" s="484">
        <v>1</v>
      </c>
      <c r="B1153" s="350" t="s">
        <v>352</v>
      </c>
      <c r="C1153" s="338" t="s">
        <v>1297</v>
      </c>
      <c r="D1153" s="498"/>
    </row>
    <row r="1154" spans="1:4" s="495" customFormat="1" x14ac:dyDescent="0.25">
      <c r="A1154" s="633">
        <v>2</v>
      </c>
      <c r="B1154" s="630" t="s">
        <v>229</v>
      </c>
      <c r="C1154" s="452" t="s">
        <v>1000</v>
      </c>
      <c r="D1154" s="498"/>
    </row>
    <row r="1155" spans="1:4" s="495" customFormat="1" x14ac:dyDescent="0.25">
      <c r="A1155" s="633"/>
      <c r="B1155" s="630"/>
      <c r="C1155" s="452" t="s">
        <v>2001</v>
      </c>
      <c r="D1155" s="498"/>
    </row>
    <row r="1156" spans="1:4" s="495" customFormat="1" x14ac:dyDescent="0.25">
      <c r="A1156" s="633"/>
      <c r="B1156" s="630"/>
      <c r="C1156" s="452" t="s">
        <v>2055</v>
      </c>
      <c r="D1156" s="578"/>
    </row>
    <row r="1157" spans="1:4" s="495" customFormat="1" x14ac:dyDescent="0.25">
      <c r="A1157" s="633"/>
      <c r="B1157" s="630"/>
      <c r="C1157" s="452" t="s">
        <v>1302</v>
      </c>
      <c r="D1157" s="578"/>
    </row>
    <row r="1158" spans="1:4" s="495" customFormat="1" x14ac:dyDescent="0.25">
      <c r="A1158" s="634"/>
      <c r="B1158" s="630"/>
      <c r="C1158" s="452" t="s">
        <v>1571</v>
      </c>
      <c r="D1158" s="578"/>
    </row>
    <row r="1159" spans="1:4" s="495" customFormat="1" x14ac:dyDescent="0.25">
      <c r="A1159" s="484">
        <v>3</v>
      </c>
      <c r="B1159" s="629" t="s">
        <v>353</v>
      </c>
      <c r="C1159" s="452" t="s">
        <v>1001</v>
      </c>
      <c r="D1159" s="498"/>
    </row>
    <row r="1160" spans="1:4" s="495" customFormat="1" x14ac:dyDescent="0.25">
      <c r="A1160" s="484"/>
      <c r="B1160" s="629"/>
      <c r="C1160" s="452" t="s">
        <v>1572</v>
      </c>
      <c r="D1160" s="498"/>
    </row>
    <row r="1161" spans="1:4" s="495" customFormat="1" x14ac:dyDescent="0.25">
      <c r="A1161" s="633">
        <v>4</v>
      </c>
      <c r="B1161" s="629" t="s">
        <v>233</v>
      </c>
      <c r="C1161" s="452" t="s">
        <v>2054</v>
      </c>
      <c r="D1161" s="498"/>
    </row>
    <row r="1162" spans="1:4" s="495" customFormat="1" x14ac:dyDescent="0.25">
      <c r="A1162" s="633"/>
      <c r="B1162" s="629"/>
      <c r="C1162" s="452" t="s">
        <v>2002</v>
      </c>
      <c r="D1162" s="498"/>
    </row>
    <row r="1163" spans="1:4" s="495" customFormat="1" x14ac:dyDescent="0.25">
      <c r="A1163" s="633"/>
      <c r="B1163" s="629"/>
      <c r="C1163" s="452" t="s">
        <v>1011</v>
      </c>
      <c r="D1163" s="578"/>
    </row>
    <row r="1164" spans="1:4" s="495" customFormat="1" x14ac:dyDescent="0.25">
      <c r="A1164" s="633"/>
      <c r="B1164" s="629"/>
      <c r="C1164" s="452" t="s">
        <v>1303</v>
      </c>
      <c r="D1164" s="578"/>
    </row>
    <row r="1165" spans="1:4" s="495" customFormat="1" x14ac:dyDescent="0.25">
      <c r="A1165" s="633"/>
      <c r="B1165" s="629"/>
      <c r="C1165" s="452" t="s">
        <v>1573</v>
      </c>
      <c r="D1165" s="578"/>
    </row>
    <row r="1166" spans="1:4" s="495" customFormat="1" x14ac:dyDescent="0.25">
      <c r="A1166" s="484">
        <v>6</v>
      </c>
      <c r="B1166" s="350" t="s">
        <v>45</v>
      </c>
      <c r="C1166" s="452" t="s">
        <v>1856</v>
      </c>
      <c r="D1166" s="498"/>
    </row>
    <row r="1167" spans="1:4" s="495" customFormat="1" x14ac:dyDescent="0.25">
      <c r="A1167" s="341">
        <v>7</v>
      </c>
      <c r="B1167" s="359" t="s">
        <v>253</v>
      </c>
      <c r="C1167" s="338" t="s">
        <v>1290</v>
      </c>
      <c r="D1167" s="498"/>
    </row>
    <row r="1168" spans="1:4" s="495" customFormat="1" x14ac:dyDescent="0.25">
      <c r="A1168" s="341">
        <v>8</v>
      </c>
      <c r="B1168" s="359" t="s">
        <v>661</v>
      </c>
      <c r="C1168" s="338" t="s">
        <v>1291</v>
      </c>
      <c r="D1168" s="498"/>
    </row>
    <row r="1169" spans="1:4" s="495" customFormat="1" x14ac:dyDescent="0.25">
      <c r="A1169" s="370"/>
      <c r="B1169" s="351" t="s">
        <v>354</v>
      </c>
      <c r="C1169" s="385"/>
      <c r="D1169" s="498"/>
    </row>
    <row r="1170" spans="1:4" s="495" customFormat="1" x14ac:dyDescent="0.25">
      <c r="A1170" s="629">
        <v>1</v>
      </c>
      <c r="B1170" s="630" t="s">
        <v>355</v>
      </c>
      <c r="C1170" s="452" t="s">
        <v>1004</v>
      </c>
      <c r="D1170" s="498"/>
    </row>
    <row r="1171" spans="1:4" s="495" customFormat="1" x14ac:dyDescent="0.25">
      <c r="A1171" s="636"/>
      <c r="B1171" s="637"/>
      <c r="C1171" s="452" t="s">
        <v>1701</v>
      </c>
      <c r="D1171" s="578"/>
    </row>
    <row r="1172" spans="1:4" s="495" customFormat="1" x14ac:dyDescent="0.25">
      <c r="A1172" s="629">
        <v>2</v>
      </c>
      <c r="B1172" s="630" t="s">
        <v>233</v>
      </c>
      <c r="C1172" s="452" t="s">
        <v>1005</v>
      </c>
      <c r="D1172" s="498"/>
    </row>
    <row r="1173" spans="1:4" s="495" customFormat="1" x14ac:dyDescent="0.25">
      <c r="A1173" s="629"/>
      <c r="B1173" s="637"/>
      <c r="C1173" s="452" t="s">
        <v>1702</v>
      </c>
      <c r="D1173" s="578"/>
    </row>
    <row r="1174" spans="1:4" s="495" customFormat="1" x14ac:dyDescent="0.25">
      <c r="A1174" s="334">
        <v>4</v>
      </c>
      <c r="B1174" s="359" t="s">
        <v>661</v>
      </c>
      <c r="C1174" s="338" t="s">
        <v>1291</v>
      </c>
      <c r="D1174" s="498"/>
    </row>
    <row r="1175" spans="1:4" s="495" customFormat="1" x14ac:dyDescent="0.25">
      <c r="A1175" s="340"/>
      <c r="B1175" s="354" t="s">
        <v>625</v>
      </c>
      <c r="C1175" s="452" t="s">
        <v>1064</v>
      </c>
      <c r="D1175" s="578"/>
    </row>
    <row r="1176" spans="1:4" s="495" customFormat="1" x14ac:dyDescent="0.25">
      <c r="A1176" s="340">
        <v>1</v>
      </c>
      <c r="B1176" s="335" t="s">
        <v>229</v>
      </c>
      <c r="C1176" s="452" t="s">
        <v>1709</v>
      </c>
      <c r="D1176" s="578"/>
    </row>
    <row r="1177" spans="1:4" s="495" customFormat="1" x14ac:dyDescent="0.25">
      <c r="A1177" s="340">
        <v>2</v>
      </c>
      <c r="B1177" s="335" t="s">
        <v>233</v>
      </c>
      <c r="C1177" s="452" t="s">
        <v>1710</v>
      </c>
      <c r="D1177" s="578"/>
    </row>
    <row r="1178" spans="1:4" s="495" customFormat="1" x14ac:dyDescent="0.25">
      <c r="A1178" s="340">
        <v>3</v>
      </c>
      <c r="B1178" s="335" t="s">
        <v>45</v>
      </c>
      <c r="C1178" s="452" t="s">
        <v>1704</v>
      </c>
      <c r="D1178" s="581"/>
    </row>
    <row r="1179" spans="1:4" s="495" customFormat="1" x14ac:dyDescent="0.25">
      <c r="A1179" s="340">
        <v>4</v>
      </c>
      <c r="B1179" s="359" t="s">
        <v>661</v>
      </c>
      <c r="C1179" s="338" t="s">
        <v>1705</v>
      </c>
      <c r="D1179" s="498"/>
    </row>
    <row r="1180" spans="1:4" s="495" customFormat="1" x14ac:dyDescent="0.25">
      <c r="A1180" s="340"/>
      <c r="B1180" s="354" t="s">
        <v>626</v>
      </c>
      <c r="C1180" s="500"/>
      <c r="D1180" s="498"/>
    </row>
    <row r="1181" spans="1:4" s="495" customFormat="1" x14ac:dyDescent="0.25">
      <c r="A1181" s="340" t="s">
        <v>61</v>
      </c>
      <c r="B1181" s="638" t="s">
        <v>229</v>
      </c>
      <c r="C1181" s="452" t="s">
        <v>1006</v>
      </c>
      <c r="D1181" s="498"/>
    </row>
    <row r="1182" spans="1:4" s="495" customFormat="1" x14ac:dyDescent="0.25">
      <c r="A1182" s="340"/>
      <c r="B1182" s="637"/>
      <c r="C1182" s="452" t="s">
        <v>1293</v>
      </c>
      <c r="D1182" s="578"/>
    </row>
    <row r="1183" spans="1:4" s="495" customFormat="1" x14ac:dyDescent="0.25">
      <c r="A1183" s="340"/>
      <c r="B1183" s="637"/>
      <c r="C1183" s="452" t="s">
        <v>1295</v>
      </c>
      <c r="D1183" s="578"/>
    </row>
    <row r="1184" spans="1:4" s="495" customFormat="1" x14ac:dyDescent="0.25">
      <c r="A1184" s="340"/>
      <c r="B1184" s="637"/>
      <c r="C1184" s="452" t="s">
        <v>1700</v>
      </c>
      <c r="D1184" s="578"/>
    </row>
    <row r="1185" spans="1:4" s="495" customFormat="1" x14ac:dyDescent="0.25">
      <c r="A1185" s="340" t="s">
        <v>63</v>
      </c>
      <c r="B1185" s="638" t="s">
        <v>233</v>
      </c>
      <c r="C1185" s="452" t="s">
        <v>1007</v>
      </c>
      <c r="D1185" s="498"/>
    </row>
    <row r="1186" spans="1:4" s="495" customFormat="1" x14ac:dyDescent="0.25">
      <c r="A1186" s="340"/>
      <c r="B1186" s="638"/>
      <c r="C1186" s="452" t="s">
        <v>1294</v>
      </c>
      <c r="D1186" s="578"/>
    </row>
    <row r="1187" spans="1:4" s="495" customFormat="1" x14ac:dyDescent="0.25">
      <c r="A1187" s="340"/>
      <c r="B1187" s="638"/>
      <c r="C1187" s="452" t="s">
        <v>1296</v>
      </c>
      <c r="D1187" s="578"/>
    </row>
    <row r="1188" spans="1:4" s="495" customFormat="1" x14ac:dyDescent="0.25">
      <c r="A1188" s="340"/>
      <c r="B1188" s="638"/>
      <c r="C1188" s="452" t="s">
        <v>1574</v>
      </c>
      <c r="D1188" s="578"/>
    </row>
    <row r="1189" spans="1:4" s="587" customFormat="1" ht="26.25" x14ac:dyDescent="0.25">
      <c r="A1189" s="481" t="s">
        <v>163</v>
      </c>
      <c r="B1189" s="618" t="s">
        <v>64</v>
      </c>
      <c r="C1189" s="621" t="s">
        <v>1337</v>
      </c>
      <c r="D1189" s="596" t="s">
        <v>1401</v>
      </c>
    </row>
    <row r="1190" spans="1:4" s="495" customFormat="1" x14ac:dyDescent="0.25">
      <c r="A1190" s="340">
        <v>5</v>
      </c>
      <c r="B1190" s="359" t="s">
        <v>661</v>
      </c>
      <c r="C1190" s="338" t="s">
        <v>1706</v>
      </c>
      <c r="D1190" s="498"/>
    </row>
    <row r="1191" spans="1:4" s="495" customFormat="1" x14ac:dyDescent="0.25">
      <c r="A1191" s="352"/>
      <c r="B1191" s="501" t="s">
        <v>356</v>
      </c>
      <c r="C1191" s="500"/>
      <c r="D1191" s="498"/>
    </row>
    <row r="1192" spans="1:4" s="495" customFormat="1" ht="26.25" x14ac:dyDescent="0.25">
      <c r="A1192" s="334">
        <v>1</v>
      </c>
      <c r="B1192" s="350" t="s">
        <v>229</v>
      </c>
      <c r="C1192" s="452" t="s">
        <v>2057</v>
      </c>
      <c r="D1192" s="578"/>
    </row>
    <row r="1193" spans="1:4" s="495" customFormat="1" ht="26.25" x14ac:dyDescent="0.25">
      <c r="A1193" s="334">
        <v>2</v>
      </c>
      <c r="B1193" s="350" t="s">
        <v>233</v>
      </c>
      <c r="C1193" s="452" t="s">
        <v>2056</v>
      </c>
      <c r="D1193" s="578"/>
    </row>
    <row r="1194" spans="1:4" s="495" customFormat="1" x14ac:dyDescent="0.25">
      <c r="A1194" s="334">
        <v>3</v>
      </c>
      <c r="B1194" s="350" t="s">
        <v>45</v>
      </c>
      <c r="C1194" s="452" t="s">
        <v>1707</v>
      </c>
      <c r="D1194" s="498"/>
    </row>
    <row r="1195" spans="1:4" s="495" customFormat="1" x14ac:dyDescent="0.25">
      <c r="A1195" s="334">
        <v>4</v>
      </c>
      <c r="B1195" s="359" t="s">
        <v>661</v>
      </c>
      <c r="C1195" s="338" t="s">
        <v>1708</v>
      </c>
      <c r="D1195" s="498"/>
    </row>
    <row r="1196" spans="1:4" s="495" customFormat="1" x14ac:dyDescent="0.25">
      <c r="A1196" s="340"/>
      <c r="B1196" s="363" t="s">
        <v>628</v>
      </c>
      <c r="C1196" s="453"/>
      <c r="D1196" s="498"/>
    </row>
    <row r="1197" spans="1:4" s="495" customFormat="1" ht="26.25" x14ac:dyDescent="0.25">
      <c r="A1197" s="334">
        <v>1</v>
      </c>
      <c r="B1197" s="349" t="s">
        <v>359</v>
      </c>
      <c r="C1197" s="663" t="s">
        <v>1158</v>
      </c>
      <c r="D1197" s="498"/>
    </row>
    <row r="1198" spans="1:4" s="495" customFormat="1" ht="26.25" x14ac:dyDescent="0.25">
      <c r="A1198" s="629">
        <v>2</v>
      </c>
      <c r="B1198" s="639" t="s">
        <v>360</v>
      </c>
      <c r="C1198" s="452" t="s">
        <v>1308</v>
      </c>
      <c r="D1198" s="498"/>
    </row>
    <row r="1199" spans="1:4" s="495" customFormat="1" x14ac:dyDescent="0.25">
      <c r="A1199" s="629"/>
      <c r="B1199" s="639"/>
      <c r="C1199" s="452" t="s">
        <v>995</v>
      </c>
      <c r="D1199" s="578"/>
    </row>
    <row r="1200" spans="1:4" s="495" customFormat="1" ht="26.25" x14ac:dyDescent="0.25">
      <c r="A1200" s="629"/>
      <c r="B1200" s="639"/>
      <c r="C1200" s="496" t="s">
        <v>1310</v>
      </c>
      <c r="D1200" s="578"/>
    </row>
    <row r="1201" spans="1:4" s="495" customFormat="1" x14ac:dyDescent="0.25">
      <c r="A1201" s="629">
        <v>3</v>
      </c>
      <c r="B1201" s="630" t="s">
        <v>244</v>
      </c>
      <c r="C1201" s="502" t="s">
        <v>1037</v>
      </c>
      <c r="D1201" s="498"/>
    </row>
    <row r="1202" spans="1:4" s="495" customFormat="1" x14ac:dyDescent="0.25">
      <c r="A1202" s="629"/>
      <c r="B1202" s="630"/>
      <c r="C1202" s="452" t="s">
        <v>1039</v>
      </c>
      <c r="D1202" s="578"/>
    </row>
    <row r="1203" spans="1:4" s="495" customFormat="1" ht="26.25" x14ac:dyDescent="0.25">
      <c r="A1203" s="629"/>
      <c r="B1203" s="630"/>
      <c r="C1203" s="496" t="s">
        <v>1309</v>
      </c>
      <c r="D1203" s="578"/>
    </row>
    <row r="1204" spans="1:4" s="495" customFormat="1" x14ac:dyDescent="0.25">
      <c r="A1204" s="334">
        <v>4</v>
      </c>
      <c r="B1204" s="350" t="s">
        <v>629</v>
      </c>
      <c r="C1204" s="338" t="s">
        <v>1161</v>
      </c>
      <c r="D1204" s="498"/>
    </row>
    <row r="1205" spans="1:4" s="495" customFormat="1" x14ac:dyDescent="0.25">
      <c r="A1205" s="334">
        <v>5</v>
      </c>
      <c r="B1205" s="350" t="s">
        <v>64</v>
      </c>
      <c r="C1205" s="338" t="s">
        <v>1160</v>
      </c>
      <c r="D1205" s="498"/>
    </row>
    <row r="1206" spans="1:4" s="495" customFormat="1" ht="26.25" x14ac:dyDescent="0.25">
      <c r="A1206" s="334">
        <v>6</v>
      </c>
      <c r="B1206" s="350" t="s">
        <v>45</v>
      </c>
      <c r="C1206" s="452" t="s">
        <v>1711</v>
      </c>
      <c r="D1206" s="498"/>
    </row>
    <row r="1207" spans="1:4" s="495" customFormat="1" x14ac:dyDescent="0.25">
      <c r="A1207" s="334"/>
      <c r="B1207" s="350"/>
      <c r="C1207" s="452" t="s">
        <v>1040</v>
      </c>
      <c r="D1207" s="578"/>
    </row>
    <row r="1208" spans="1:4" s="495" customFormat="1" x14ac:dyDescent="0.25">
      <c r="A1208" s="334"/>
      <c r="B1208" s="350"/>
      <c r="C1208" s="503" t="s">
        <v>1163</v>
      </c>
      <c r="D1208" s="578"/>
    </row>
    <row r="1209" spans="1:4" s="495" customFormat="1" x14ac:dyDescent="0.25">
      <c r="A1209" s="334">
        <v>7</v>
      </c>
      <c r="B1209" s="350" t="s">
        <v>224</v>
      </c>
      <c r="C1209" s="338" t="s">
        <v>1159</v>
      </c>
      <c r="D1209" s="498"/>
    </row>
    <row r="1210" spans="1:4" s="495" customFormat="1" x14ac:dyDescent="0.25">
      <c r="A1210" s="334">
        <v>8</v>
      </c>
      <c r="B1210" s="359" t="s">
        <v>661</v>
      </c>
      <c r="C1210" s="338" t="s">
        <v>1162</v>
      </c>
      <c r="D1210" s="498"/>
    </row>
    <row r="1211" spans="1:4" s="495" customFormat="1" ht="15.75" x14ac:dyDescent="0.25">
      <c r="A1211" s="340"/>
      <c r="B1211" s="380" t="s">
        <v>362</v>
      </c>
      <c r="C1211" s="453"/>
      <c r="D1211" s="498"/>
    </row>
    <row r="1212" spans="1:4" s="495" customFormat="1" x14ac:dyDescent="0.25">
      <c r="A1212" s="484">
        <v>1</v>
      </c>
      <c r="B1212" s="359" t="s">
        <v>363</v>
      </c>
      <c r="C1212" s="338" t="s">
        <v>1715</v>
      </c>
      <c r="D1212" s="498"/>
    </row>
    <row r="1213" spans="1:4" s="495" customFormat="1" x14ac:dyDescent="0.25">
      <c r="A1213" s="484">
        <v>3</v>
      </c>
      <c r="B1213" s="350" t="s">
        <v>365</v>
      </c>
      <c r="C1213" s="338" t="s">
        <v>1716</v>
      </c>
      <c r="D1213" s="498"/>
    </row>
    <row r="1214" spans="1:4" s="495" customFormat="1" x14ac:dyDescent="0.25">
      <c r="A1214" s="484">
        <v>4</v>
      </c>
      <c r="B1214" s="350" t="s">
        <v>366</v>
      </c>
      <c r="C1214" s="338" t="s">
        <v>1717</v>
      </c>
      <c r="D1214" s="498"/>
    </row>
    <row r="1215" spans="1:4" s="495" customFormat="1" x14ac:dyDescent="0.25">
      <c r="A1215" s="484">
        <v>5</v>
      </c>
      <c r="B1215" s="350" t="s">
        <v>630</v>
      </c>
      <c r="C1215" s="338" t="s">
        <v>1718</v>
      </c>
      <c r="D1215" s="498"/>
    </row>
    <row r="1216" spans="1:4" s="495" customFormat="1" x14ac:dyDescent="0.25">
      <c r="A1216" s="484">
        <v>7</v>
      </c>
      <c r="B1216" s="359" t="s">
        <v>653</v>
      </c>
      <c r="C1216" s="338" t="s">
        <v>1719</v>
      </c>
      <c r="D1216" s="562"/>
    </row>
    <row r="1217" spans="1:4" s="495" customFormat="1" x14ac:dyDescent="0.25">
      <c r="A1217" s="340">
        <v>8</v>
      </c>
      <c r="B1217" s="350" t="s">
        <v>299</v>
      </c>
      <c r="C1217" s="338" t="s">
        <v>1720</v>
      </c>
      <c r="D1217" s="562"/>
    </row>
    <row r="1218" spans="1:4" s="587" customFormat="1" ht="26.25" x14ac:dyDescent="0.25">
      <c r="A1218" s="610">
        <v>9</v>
      </c>
      <c r="B1218" s="473" t="s">
        <v>367</v>
      </c>
      <c r="C1218" s="471" t="s">
        <v>1337</v>
      </c>
      <c r="D1218" s="471" t="s">
        <v>2091</v>
      </c>
    </row>
    <row r="1219" spans="1:4" s="495" customFormat="1" ht="15.75" x14ac:dyDescent="0.25">
      <c r="A1219" s="341"/>
      <c r="B1219" s="594" t="s">
        <v>1713</v>
      </c>
      <c r="C1219" s="338"/>
      <c r="D1219" s="498"/>
    </row>
    <row r="1220" spans="1:4" s="495" customFormat="1" x14ac:dyDescent="0.25">
      <c r="A1220" s="341"/>
      <c r="B1220" s="350" t="s">
        <v>1714</v>
      </c>
      <c r="C1220" s="338" t="s">
        <v>2017</v>
      </c>
      <c r="D1220" s="498"/>
    </row>
    <row r="1221" spans="1:4" s="495" customFormat="1" x14ac:dyDescent="0.25">
      <c r="A1221" s="341"/>
      <c r="B1221" s="350" t="s">
        <v>365</v>
      </c>
      <c r="C1221" s="338" t="s">
        <v>2018</v>
      </c>
      <c r="D1221" s="498"/>
    </row>
    <row r="1222" spans="1:4" s="495" customFormat="1" x14ac:dyDescent="0.25">
      <c r="A1222" s="341"/>
      <c r="B1222" s="350" t="s">
        <v>366</v>
      </c>
      <c r="C1222" s="338" t="s">
        <v>2023</v>
      </c>
      <c r="D1222" s="498"/>
    </row>
    <row r="1223" spans="1:4" s="495" customFormat="1" x14ac:dyDescent="0.25">
      <c r="A1223" s="341"/>
      <c r="B1223" s="350" t="s">
        <v>630</v>
      </c>
      <c r="C1223" s="338" t="s">
        <v>2019</v>
      </c>
      <c r="D1223" s="498"/>
    </row>
    <row r="1224" spans="1:4" s="495" customFormat="1" ht="15.75" x14ac:dyDescent="0.25">
      <c r="A1224" s="340"/>
      <c r="B1224" s="522" t="s">
        <v>370</v>
      </c>
      <c r="C1224" s="385"/>
      <c r="D1224" s="498"/>
    </row>
    <row r="1225" spans="1:4" s="495" customFormat="1" x14ac:dyDescent="0.25">
      <c r="A1225" s="340"/>
      <c r="B1225" s="351" t="s">
        <v>14</v>
      </c>
      <c r="C1225" s="385"/>
      <c r="D1225" s="498"/>
    </row>
    <row r="1226" spans="1:4" s="495" customFormat="1" ht="35.25" customHeight="1" x14ac:dyDescent="0.25">
      <c r="A1226" s="334">
        <v>1</v>
      </c>
      <c r="B1226" s="349" t="s">
        <v>371</v>
      </c>
      <c r="C1226" s="338" t="s">
        <v>1722</v>
      </c>
      <c r="D1226" s="562"/>
    </row>
    <row r="1227" spans="1:4" s="495" customFormat="1" x14ac:dyDescent="0.25">
      <c r="A1227" s="334">
        <v>2</v>
      </c>
      <c r="B1227" s="349" t="s">
        <v>372</v>
      </c>
      <c r="C1227" s="494" t="s">
        <v>1878</v>
      </c>
      <c r="D1227" s="498"/>
    </row>
    <row r="1228" spans="1:4" s="495" customFormat="1" x14ac:dyDescent="0.25">
      <c r="A1228" s="334">
        <v>4</v>
      </c>
      <c r="B1228" s="349" t="s">
        <v>374</v>
      </c>
      <c r="C1228" s="494" t="s">
        <v>1879</v>
      </c>
      <c r="D1228" s="498"/>
    </row>
    <row r="1229" spans="1:4" s="495" customFormat="1" x14ac:dyDescent="0.25">
      <c r="A1229" s="334"/>
      <c r="B1229" s="349" t="s">
        <v>1721</v>
      </c>
      <c r="C1229" s="494" t="s">
        <v>1881</v>
      </c>
      <c r="D1229" s="498"/>
    </row>
    <row r="1230" spans="1:4" s="495" customFormat="1" x14ac:dyDescent="0.25">
      <c r="A1230" s="334">
        <v>5</v>
      </c>
      <c r="B1230" s="350" t="s">
        <v>375</v>
      </c>
      <c r="C1230" s="494" t="s">
        <v>1880</v>
      </c>
      <c r="D1230" s="498"/>
    </row>
    <row r="1231" spans="1:4" s="495" customFormat="1" x14ac:dyDescent="0.25">
      <c r="A1231" s="334">
        <v>6</v>
      </c>
      <c r="B1231" s="350" t="s">
        <v>489</v>
      </c>
      <c r="C1231" s="338" t="s">
        <v>1723</v>
      </c>
      <c r="D1231" s="498"/>
    </row>
    <row r="1232" spans="1:4" s="495" customFormat="1" x14ac:dyDescent="0.25">
      <c r="A1232" s="334">
        <v>7</v>
      </c>
      <c r="B1232" s="350" t="s">
        <v>490</v>
      </c>
      <c r="C1232" s="338" t="s">
        <v>1724</v>
      </c>
      <c r="D1232" s="498"/>
    </row>
    <row r="1233" spans="1:4" s="495" customFormat="1" x14ac:dyDescent="0.25">
      <c r="A1233" s="334">
        <v>8</v>
      </c>
      <c r="B1233" s="350" t="s">
        <v>25</v>
      </c>
      <c r="C1233" s="338" t="s">
        <v>1725</v>
      </c>
      <c r="D1233" s="563"/>
    </row>
    <row r="1234" spans="1:4" s="495" customFormat="1" x14ac:dyDescent="0.25">
      <c r="A1234" s="340">
        <v>9</v>
      </c>
      <c r="B1234" s="350" t="s">
        <v>558</v>
      </c>
      <c r="C1234" s="338" t="s">
        <v>1726</v>
      </c>
      <c r="D1234" s="498"/>
    </row>
    <row r="1235" spans="1:4" s="495" customFormat="1" x14ac:dyDescent="0.25">
      <c r="A1235" s="340">
        <v>10</v>
      </c>
      <c r="B1235" s="350" t="s">
        <v>632</v>
      </c>
      <c r="C1235" s="338" t="s">
        <v>1727</v>
      </c>
      <c r="D1235" s="498"/>
    </row>
    <row r="1236" spans="1:4" s="495" customFormat="1" x14ac:dyDescent="0.25">
      <c r="A1236" s="369">
        <v>11</v>
      </c>
      <c r="B1236" s="350" t="s">
        <v>493</v>
      </c>
      <c r="C1236" s="338" t="s">
        <v>1728</v>
      </c>
      <c r="D1236" s="498"/>
    </row>
    <row r="1237" spans="1:4" s="495" customFormat="1" x14ac:dyDescent="0.25">
      <c r="A1237" s="340"/>
      <c r="B1237" s="351" t="s">
        <v>376</v>
      </c>
      <c r="C1237" s="453"/>
      <c r="D1237" s="498"/>
    </row>
    <row r="1238" spans="1:4" s="495" customFormat="1" x14ac:dyDescent="0.25">
      <c r="A1238" s="340">
        <v>1</v>
      </c>
      <c r="B1238" s="350" t="s">
        <v>377</v>
      </c>
      <c r="C1238" s="494" t="s">
        <v>1910</v>
      </c>
      <c r="D1238" s="498"/>
    </row>
    <row r="1239" spans="1:4" s="495" customFormat="1" x14ac:dyDescent="0.25">
      <c r="A1239" s="340">
        <v>2</v>
      </c>
      <c r="B1239" s="350" t="s">
        <v>665</v>
      </c>
      <c r="C1239" s="494" t="s">
        <v>2010</v>
      </c>
      <c r="D1239" s="498"/>
    </row>
    <row r="1240" spans="1:4" s="495" customFormat="1" x14ac:dyDescent="0.25">
      <c r="A1240" s="340">
        <v>3</v>
      </c>
      <c r="B1240" s="355" t="s">
        <v>633</v>
      </c>
      <c r="C1240" s="338" t="s">
        <v>1729</v>
      </c>
      <c r="D1240" s="498"/>
    </row>
    <row r="1241" spans="1:4" s="495" customFormat="1" x14ac:dyDescent="0.25">
      <c r="A1241" s="340"/>
      <c r="B1241" s="351" t="s">
        <v>378</v>
      </c>
      <c r="C1241" s="385"/>
      <c r="D1241" s="498"/>
    </row>
    <row r="1242" spans="1:4" s="495" customFormat="1" x14ac:dyDescent="0.25">
      <c r="A1242" s="340" t="s">
        <v>61</v>
      </c>
      <c r="B1242" s="350" t="s">
        <v>379</v>
      </c>
      <c r="C1242" s="494" t="s">
        <v>1882</v>
      </c>
      <c r="D1242" s="498"/>
    </row>
    <row r="1243" spans="1:4" s="495" customFormat="1" x14ac:dyDescent="0.25">
      <c r="A1243" s="340" t="s">
        <v>63</v>
      </c>
      <c r="B1243" s="349" t="s">
        <v>380</v>
      </c>
      <c r="C1243" s="494" t="s">
        <v>1883</v>
      </c>
      <c r="D1243" s="498"/>
    </row>
    <row r="1244" spans="1:4" s="495" customFormat="1" x14ac:dyDescent="0.25">
      <c r="A1244" s="340">
        <v>3</v>
      </c>
      <c r="B1244" s="350" t="s">
        <v>381</v>
      </c>
      <c r="C1244" s="494" t="s">
        <v>1884</v>
      </c>
      <c r="D1244" s="498"/>
    </row>
    <row r="1245" spans="1:4" s="495" customFormat="1" x14ac:dyDescent="0.25">
      <c r="A1245" s="340">
        <v>4</v>
      </c>
      <c r="B1245" s="504" t="s">
        <v>416</v>
      </c>
      <c r="C1245" s="494" t="s">
        <v>1885</v>
      </c>
      <c r="D1245" s="498"/>
    </row>
    <row r="1246" spans="1:4" s="495" customFormat="1" x14ac:dyDescent="0.25">
      <c r="A1246" s="340">
        <v>5</v>
      </c>
      <c r="B1246" s="350" t="s">
        <v>652</v>
      </c>
      <c r="C1246" s="385" t="s">
        <v>1730</v>
      </c>
      <c r="D1246" s="562"/>
    </row>
    <row r="1247" spans="1:4" s="495" customFormat="1" x14ac:dyDescent="0.25">
      <c r="A1247" s="340">
        <v>6</v>
      </c>
      <c r="B1247" s="350" t="s">
        <v>491</v>
      </c>
      <c r="C1247" s="385" t="s">
        <v>1731</v>
      </c>
      <c r="D1247" s="562"/>
    </row>
    <row r="1248" spans="1:4" s="495" customFormat="1" x14ac:dyDescent="0.25">
      <c r="A1248" s="340">
        <v>7</v>
      </c>
      <c r="B1248" s="350" t="s">
        <v>26</v>
      </c>
      <c r="C1248" s="494" t="s">
        <v>1886</v>
      </c>
      <c r="D1248" s="498"/>
    </row>
    <row r="1249" spans="1:4" s="495" customFormat="1" x14ac:dyDescent="0.25">
      <c r="A1249" s="340"/>
      <c r="B1249" s="351" t="s">
        <v>382</v>
      </c>
      <c r="C1249" s="385"/>
      <c r="D1249" s="498"/>
    </row>
    <row r="1250" spans="1:4" s="495" customFormat="1" x14ac:dyDescent="0.25">
      <c r="A1250" s="340">
        <v>1</v>
      </c>
      <c r="B1250" s="349" t="s">
        <v>383</v>
      </c>
      <c r="C1250" s="494" t="s">
        <v>1887</v>
      </c>
      <c r="D1250" s="498"/>
    </row>
    <row r="1251" spans="1:4" s="495" customFormat="1" x14ac:dyDescent="0.25">
      <c r="A1251" s="340">
        <v>2</v>
      </c>
      <c r="B1251" s="360" t="s">
        <v>384</v>
      </c>
      <c r="C1251" s="494" t="s">
        <v>1889</v>
      </c>
      <c r="D1251" s="498"/>
    </row>
    <row r="1252" spans="1:4" s="495" customFormat="1" ht="26.25" x14ac:dyDescent="0.25">
      <c r="A1252" s="340">
        <v>3</v>
      </c>
      <c r="B1252" s="339" t="s">
        <v>385</v>
      </c>
      <c r="C1252" s="494" t="s">
        <v>1888</v>
      </c>
      <c r="D1252" s="498"/>
    </row>
    <row r="1253" spans="1:4" s="495" customFormat="1" x14ac:dyDescent="0.25">
      <c r="A1253" s="340">
        <v>4</v>
      </c>
      <c r="B1253" s="335" t="s">
        <v>386</v>
      </c>
      <c r="C1253" s="494" t="s">
        <v>1890</v>
      </c>
      <c r="D1253" s="498"/>
    </row>
    <row r="1254" spans="1:4" s="495" customFormat="1" x14ac:dyDescent="0.25">
      <c r="A1254" s="340">
        <v>5</v>
      </c>
      <c r="B1254" s="339" t="s">
        <v>387</v>
      </c>
      <c r="C1254" s="494" t="s">
        <v>1891</v>
      </c>
      <c r="D1254" s="498"/>
    </row>
    <row r="1255" spans="1:4" s="495" customFormat="1" x14ac:dyDescent="0.25">
      <c r="A1255" s="340">
        <v>6</v>
      </c>
      <c r="B1255" s="339" t="s">
        <v>388</v>
      </c>
      <c r="C1255" s="494" t="s">
        <v>1892</v>
      </c>
      <c r="D1255" s="498"/>
    </row>
    <row r="1256" spans="1:4" s="495" customFormat="1" x14ac:dyDescent="0.25">
      <c r="A1256" s="340">
        <v>7</v>
      </c>
      <c r="B1256" s="339" t="s">
        <v>389</v>
      </c>
      <c r="C1256" s="494" t="s">
        <v>1894</v>
      </c>
      <c r="D1256" s="498"/>
    </row>
    <row r="1257" spans="1:4" s="495" customFormat="1" x14ac:dyDescent="0.25">
      <c r="A1257" s="340">
        <v>8</v>
      </c>
      <c r="B1257" s="339" t="s">
        <v>503</v>
      </c>
      <c r="C1257" s="338" t="s">
        <v>1733</v>
      </c>
      <c r="D1257" s="498"/>
    </row>
    <row r="1258" spans="1:4" s="495" customFormat="1" x14ac:dyDescent="0.25">
      <c r="A1258" s="340">
        <v>9</v>
      </c>
      <c r="B1258" s="339" t="s">
        <v>390</v>
      </c>
      <c r="C1258" s="494" t="s">
        <v>1896</v>
      </c>
      <c r="D1258" s="498"/>
    </row>
    <row r="1259" spans="1:4" s="495" customFormat="1" x14ac:dyDescent="0.25">
      <c r="A1259" s="340">
        <v>10</v>
      </c>
      <c r="B1259" s="339" t="s">
        <v>391</v>
      </c>
      <c r="C1259" s="494" t="s">
        <v>2012</v>
      </c>
      <c r="D1259" s="565"/>
    </row>
    <row r="1260" spans="1:4" s="495" customFormat="1" x14ac:dyDescent="0.25">
      <c r="A1260" s="340">
        <v>11</v>
      </c>
      <c r="B1260" s="339" t="s">
        <v>635</v>
      </c>
      <c r="C1260" s="338" t="s">
        <v>701</v>
      </c>
      <c r="D1260" s="498"/>
    </row>
    <row r="1261" spans="1:4" s="495" customFormat="1" x14ac:dyDescent="0.25">
      <c r="A1261" s="340">
        <v>12</v>
      </c>
      <c r="B1261" s="335" t="s">
        <v>392</v>
      </c>
      <c r="C1261" s="338" t="s">
        <v>702</v>
      </c>
      <c r="D1261" s="498"/>
    </row>
    <row r="1262" spans="1:4" s="495" customFormat="1" x14ac:dyDescent="0.25">
      <c r="A1262" s="340">
        <v>13</v>
      </c>
      <c r="B1262" s="339" t="s">
        <v>636</v>
      </c>
      <c r="C1262" s="385" t="s">
        <v>1734</v>
      </c>
      <c r="D1262" s="562"/>
    </row>
    <row r="1263" spans="1:4" s="495" customFormat="1" x14ac:dyDescent="0.25">
      <c r="A1263" s="340">
        <v>14</v>
      </c>
      <c r="B1263" s="335" t="s">
        <v>393</v>
      </c>
      <c r="C1263" s="338" t="s">
        <v>1735</v>
      </c>
      <c r="D1263" s="562"/>
    </row>
    <row r="1264" spans="1:4" s="495" customFormat="1" x14ac:dyDescent="0.25">
      <c r="A1264" s="340">
        <v>15</v>
      </c>
      <c r="B1264" s="335" t="s">
        <v>394</v>
      </c>
      <c r="C1264" s="338" t="s">
        <v>1736</v>
      </c>
      <c r="D1264" s="562"/>
    </row>
    <row r="1265" spans="1:4" s="587" customFormat="1" ht="26.25" x14ac:dyDescent="0.25">
      <c r="A1265" s="481">
        <v>16</v>
      </c>
      <c r="B1265" s="473" t="s">
        <v>395</v>
      </c>
      <c r="C1265" s="471" t="s">
        <v>1337</v>
      </c>
      <c r="D1265" s="597" t="s">
        <v>2103</v>
      </c>
    </row>
    <row r="1266" spans="1:4" s="495" customFormat="1" x14ac:dyDescent="0.25">
      <c r="A1266" s="340">
        <v>17</v>
      </c>
      <c r="B1266" s="335" t="s">
        <v>396</v>
      </c>
      <c r="C1266" s="494" t="s">
        <v>1897</v>
      </c>
      <c r="D1266" s="498"/>
    </row>
    <row r="1267" spans="1:4" s="495" customFormat="1" x14ac:dyDescent="0.25">
      <c r="A1267" s="340">
        <v>18</v>
      </c>
      <c r="B1267" s="335" t="s">
        <v>638</v>
      </c>
      <c r="C1267" s="494" t="s">
        <v>1895</v>
      </c>
      <c r="D1267" s="498"/>
    </row>
    <row r="1268" spans="1:4" s="495" customFormat="1" x14ac:dyDescent="0.25">
      <c r="A1268" s="340">
        <v>19</v>
      </c>
      <c r="B1268" s="335" t="s">
        <v>492</v>
      </c>
      <c r="C1268" s="385" t="s">
        <v>1737</v>
      </c>
      <c r="D1268" s="562"/>
    </row>
    <row r="1269" spans="1:4" s="495" customFormat="1" x14ac:dyDescent="0.25">
      <c r="A1269" s="340">
        <v>20</v>
      </c>
      <c r="B1269" s="335" t="s">
        <v>397</v>
      </c>
      <c r="C1269" s="385" t="s">
        <v>1738</v>
      </c>
      <c r="D1269" s="430"/>
    </row>
    <row r="1270" spans="1:4" s="495" customFormat="1" x14ac:dyDescent="0.25">
      <c r="A1270" s="340"/>
      <c r="B1270" s="335" t="s">
        <v>35</v>
      </c>
      <c r="C1270" s="494" t="s">
        <v>1893</v>
      </c>
      <c r="D1270" s="430"/>
    </row>
    <row r="1271" spans="1:4" s="495" customFormat="1" x14ac:dyDescent="0.25">
      <c r="A1271" s="370"/>
      <c r="B1271" s="351" t="s">
        <v>398</v>
      </c>
      <c r="C1271" s="453"/>
      <c r="D1271" s="498"/>
    </row>
    <row r="1272" spans="1:4" s="495" customFormat="1" x14ac:dyDescent="0.25">
      <c r="A1272" s="340">
        <v>1</v>
      </c>
      <c r="B1272" s="350" t="s">
        <v>399</v>
      </c>
      <c r="C1272" s="494" t="s">
        <v>1898</v>
      </c>
      <c r="D1272" s="498"/>
    </row>
    <row r="1273" spans="1:4" s="495" customFormat="1" x14ac:dyDescent="0.25">
      <c r="A1273" s="340">
        <v>2</v>
      </c>
      <c r="B1273" s="350" t="s">
        <v>400</v>
      </c>
      <c r="C1273" s="494" t="s">
        <v>1899</v>
      </c>
      <c r="D1273" s="498"/>
    </row>
    <row r="1274" spans="1:4" s="495" customFormat="1" x14ac:dyDescent="0.25">
      <c r="A1274" s="334"/>
      <c r="B1274" s="351" t="s">
        <v>402</v>
      </c>
      <c r="C1274" s="446"/>
      <c r="D1274" s="498"/>
    </row>
    <row r="1275" spans="1:4" s="495" customFormat="1" x14ac:dyDescent="0.25">
      <c r="A1275" s="334">
        <v>1</v>
      </c>
      <c r="B1275" s="335" t="s">
        <v>1732</v>
      </c>
      <c r="C1275" s="494" t="s">
        <v>1900</v>
      </c>
      <c r="D1275" s="498"/>
    </row>
    <row r="1276" spans="1:4" s="495" customFormat="1" x14ac:dyDescent="0.25">
      <c r="A1276" s="384" t="s">
        <v>639</v>
      </c>
      <c r="B1276" s="355"/>
      <c r="C1276" s="385"/>
      <c r="D1276" s="498"/>
    </row>
    <row r="1277" spans="1:4" s="495" customFormat="1" x14ac:dyDescent="0.25">
      <c r="A1277" s="340">
        <v>1</v>
      </c>
      <c r="B1277" s="353" t="s">
        <v>404</v>
      </c>
      <c r="C1277" s="494" t="s">
        <v>1901</v>
      </c>
      <c r="D1277" s="498"/>
    </row>
    <row r="1278" spans="1:4" s="495" customFormat="1" x14ac:dyDescent="0.25">
      <c r="A1278" s="340">
        <v>2</v>
      </c>
      <c r="B1278" s="386" t="s">
        <v>250</v>
      </c>
      <c r="C1278" s="494" t="s">
        <v>1902</v>
      </c>
      <c r="D1278" s="498"/>
    </row>
    <row r="1279" spans="1:4" s="495" customFormat="1" ht="16.5" customHeight="1" x14ac:dyDescent="0.25">
      <c r="A1279" s="340">
        <v>3</v>
      </c>
      <c r="B1279" s="353" t="s">
        <v>405</v>
      </c>
      <c r="C1279" s="385" t="s">
        <v>1739</v>
      </c>
      <c r="D1279" s="562"/>
    </row>
    <row r="1280" spans="1:4" s="495" customFormat="1" x14ac:dyDescent="0.25">
      <c r="A1280" s="340">
        <v>4</v>
      </c>
      <c r="B1280" s="353" t="s">
        <v>406</v>
      </c>
      <c r="C1280" s="385" t="s">
        <v>1740</v>
      </c>
      <c r="D1280" s="562"/>
    </row>
    <row r="1281" spans="1:4" s="495" customFormat="1" ht="15.75" customHeight="1" x14ac:dyDescent="0.25">
      <c r="A1281" s="340">
        <v>5</v>
      </c>
      <c r="B1281" s="359" t="s">
        <v>407</v>
      </c>
      <c r="C1281" s="385" t="s">
        <v>1741</v>
      </c>
      <c r="D1281" s="562"/>
    </row>
    <row r="1282" spans="1:4" s="495" customFormat="1" x14ac:dyDescent="0.25">
      <c r="A1282" s="387"/>
      <c r="B1282" s="351" t="s">
        <v>408</v>
      </c>
      <c r="C1282" s="385"/>
      <c r="D1282" s="498"/>
    </row>
    <row r="1283" spans="1:4" s="495" customFormat="1" x14ac:dyDescent="0.25">
      <c r="A1283" s="387">
        <v>1</v>
      </c>
      <c r="B1283" s="353" t="s">
        <v>640</v>
      </c>
      <c r="C1283" s="494" t="s">
        <v>1903</v>
      </c>
      <c r="D1283" s="498"/>
    </row>
    <row r="1284" spans="1:4" s="495" customFormat="1" x14ac:dyDescent="0.25">
      <c r="A1284" s="387">
        <v>2</v>
      </c>
      <c r="B1284" s="353" t="s">
        <v>469</v>
      </c>
      <c r="C1284" s="494" t="s">
        <v>1904</v>
      </c>
      <c r="D1284" s="498"/>
    </row>
    <row r="1285" spans="1:4" s="495" customFormat="1" x14ac:dyDescent="0.25">
      <c r="A1285" s="334">
        <v>3</v>
      </c>
      <c r="B1285" s="350" t="s">
        <v>25</v>
      </c>
      <c r="C1285" s="338" t="s">
        <v>1742</v>
      </c>
      <c r="D1285" s="562"/>
    </row>
    <row r="1286" spans="1:4" s="495" customFormat="1" x14ac:dyDescent="0.25">
      <c r="A1286" s="334">
        <v>4</v>
      </c>
      <c r="B1286" s="350" t="s">
        <v>26</v>
      </c>
      <c r="C1286" s="338" t="s">
        <v>1743</v>
      </c>
      <c r="D1286" s="562"/>
    </row>
    <row r="1287" spans="1:4" s="495" customFormat="1" x14ac:dyDescent="0.25">
      <c r="A1287" s="354" t="s">
        <v>409</v>
      </c>
      <c r="B1287" s="355"/>
      <c r="C1287" s="453"/>
      <c r="D1287" s="498"/>
    </row>
    <row r="1288" spans="1:4" s="495" customFormat="1" ht="26.25" x14ac:dyDescent="0.25">
      <c r="A1288" s="334">
        <v>1</v>
      </c>
      <c r="B1288" s="359" t="s">
        <v>410</v>
      </c>
      <c r="C1288" s="494" t="s">
        <v>1905</v>
      </c>
      <c r="D1288" s="498"/>
    </row>
    <row r="1289" spans="1:4" s="495" customFormat="1" x14ac:dyDescent="0.25">
      <c r="A1289" s="334">
        <v>2</v>
      </c>
      <c r="B1289" s="353" t="s">
        <v>411</v>
      </c>
      <c r="C1289" s="338" t="s">
        <v>1745</v>
      </c>
      <c r="D1289" s="562"/>
    </row>
    <row r="1290" spans="1:4" s="495" customFormat="1" x14ac:dyDescent="0.25">
      <c r="A1290" s="340">
        <v>3</v>
      </c>
      <c r="B1290" s="353" t="s">
        <v>412</v>
      </c>
      <c r="C1290" s="494" t="s">
        <v>1906</v>
      </c>
      <c r="D1290" s="498"/>
    </row>
    <row r="1291" spans="1:4" s="587" customFormat="1" ht="26.25" x14ac:dyDescent="0.25">
      <c r="A1291" s="481"/>
      <c r="B1291" s="620" t="s">
        <v>1744</v>
      </c>
      <c r="C1291" s="622" t="s">
        <v>1337</v>
      </c>
      <c r="D1291" s="597" t="s">
        <v>2092</v>
      </c>
    </row>
    <row r="1292" spans="1:4" s="495" customFormat="1" x14ac:dyDescent="0.25">
      <c r="A1292" s="340">
        <v>4</v>
      </c>
      <c r="B1292" s="350" t="s">
        <v>413</v>
      </c>
      <c r="C1292" s="494" t="s">
        <v>1907</v>
      </c>
      <c r="D1292" s="498"/>
    </row>
    <row r="1293" spans="1:4" s="495" customFormat="1" x14ac:dyDescent="0.25">
      <c r="A1293" s="340">
        <v>5</v>
      </c>
      <c r="B1293" s="528" t="s">
        <v>35</v>
      </c>
      <c r="C1293" s="494" t="s">
        <v>1908</v>
      </c>
      <c r="D1293" s="583"/>
    </row>
    <row r="1294" spans="1:4" s="495" customFormat="1" x14ac:dyDescent="0.25">
      <c r="A1294" s="370"/>
      <c r="B1294" s="513" t="s">
        <v>414</v>
      </c>
      <c r="C1294" s="517"/>
      <c r="D1294" s="498"/>
    </row>
    <row r="1295" spans="1:4" s="495" customFormat="1" x14ac:dyDescent="0.25">
      <c r="A1295" s="334">
        <v>6</v>
      </c>
      <c r="B1295" s="350" t="s">
        <v>415</v>
      </c>
      <c r="C1295" s="338" t="s">
        <v>1746</v>
      </c>
      <c r="D1295" s="563"/>
    </row>
    <row r="1296" spans="1:4" s="495" customFormat="1" x14ac:dyDescent="0.25">
      <c r="A1296" s="334">
        <v>7</v>
      </c>
      <c r="B1296" s="350" t="s">
        <v>492</v>
      </c>
      <c r="C1296" s="338" t="s">
        <v>1747</v>
      </c>
      <c r="D1296" s="562"/>
    </row>
    <row r="1297" spans="1:4" s="495" customFormat="1" x14ac:dyDescent="0.25">
      <c r="A1297" s="340">
        <v>8</v>
      </c>
      <c r="B1297" s="350" t="s">
        <v>25</v>
      </c>
      <c r="C1297" s="338" t="s">
        <v>1748</v>
      </c>
      <c r="D1297" s="583"/>
    </row>
    <row r="1298" spans="1:4" s="495" customFormat="1" x14ac:dyDescent="0.25">
      <c r="A1298" s="340">
        <v>9</v>
      </c>
      <c r="B1298" s="350" t="s">
        <v>412</v>
      </c>
      <c r="C1298" s="338" t="s">
        <v>1749</v>
      </c>
      <c r="D1298" s="562"/>
    </row>
    <row r="1299" spans="1:4" s="495" customFormat="1" x14ac:dyDescent="0.25">
      <c r="A1299" s="340">
        <v>10</v>
      </c>
      <c r="B1299" s="350" t="s">
        <v>1393</v>
      </c>
      <c r="C1299" s="338" t="s">
        <v>1750</v>
      </c>
      <c r="D1299" s="583"/>
    </row>
    <row r="1300" spans="1:4" s="495" customFormat="1" x14ac:dyDescent="0.25">
      <c r="A1300" s="370"/>
      <c r="B1300" s="351" t="s">
        <v>531</v>
      </c>
      <c r="C1300" s="453"/>
      <c r="D1300" s="498"/>
    </row>
    <row r="1301" spans="1:4" s="495" customFormat="1" x14ac:dyDescent="0.25">
      <c r="A1301" s="334">
        <v>1</v>
      </c>
      <c r="B1301" s="353" t="s">
        <v>532</v>
      </c>
      <c r="C1301" s="338" t="s">
        <v>1751</v>
      </c>
      <c r="D1301" s="562"/>
    </row>
    <row r="1302" spans="1:4" s="495" customFormat="1" x14ac:dyDescent="0.25">
      <c r="A1302" s="334">
        <v>2</v>
      </c>
      <c r="B1302" s="353" t="s">
        <v>533</v>
      </c>
      <c r="C1302" s="338" t="s">
        <v>1752</v>
      </c>
      <c r="D1302" s="562"/>
    </row>
    <row r="1303" spans="1:4" s="495" customFormat="1" x14ac:dyDescent="0.25">
      <c r="A1303" s="334">
        <v>3</v>
      </c>
      <c r="B1303" s="353" t="s">
        <v>32</v>
      </c>
      <c r="C1303" s="494" t="s">
        <v>2011</v>
      </c>
      <c r="D1303" s="562"/>
    </row>
    <row r="1304" spans="1:4" s="495" customFormat="1" x14ac:dyDescent="0.25">
      <c r="A1304" s="334">
        <v>4</v>
      </c>
      <c r="B1304" s="350" t="s">
        <v>25</v>
      </c>
      <c r="C1304" s="338" t="s">
        <v>1753</v>
      </c>
      <c r="D1304" s="584"/>
    </row>
    <row r="1305" spans="1:4" s="495" customFormat="1" x14ac:dyDescent="0.25">
      <c r="A1305" s="334"/>
      <c r="B1305" s="351" t="s">
        <v>494</v>
      </c>
      <c r="C1305" s="453"/>
      <c r="D1305" s="498"/>
    </row>
    <row r="1306" spans="1:4" s="495" customFormat="1" x14ac:dyDescent="0.25">
      <c r="A1306" s="334">
        <v>1</v>
      </c>
      <c r="B1306" s="350" t="s">
        <v>495</v>
      </c>
      <c r="C1306" s="338" t="s">
        <v>1754</v>
      </c>
      <c r="D1306" s="498"/>
    </row>
    <row r="1307" spans="1:4" s="495" customFormat="1" x14ac:dyDescent="0.25">
      <c r="A1307" s="334">
        <v>2</v>
      </c>
      <c r="B1307" s="350" t="s">
        <v>496</v>
      </c>
      <c r="C1307" s="338" t="s">
        <v>1755</v>
      </c>
      <c r="D1307" s="498"/>
    </row>
    <row r="1308" spans="1:4" s="495" customFormat="1" x14ac:dyDescent="0.25">
      <c r="A1308" s="334"/>
      <c r="B1308" s="350" t="s">
        <v>558</v>
      </c>
      <c r="C1308" s="494" t="s">
        <v>1916</v>
      </c>
      <c r="D1308" s="498"/>
    </row>
    <row r="1309" spans="1:4" s="495" customFormat="1" x14ac:dyDescent="0.25">
      <c r="A1309" s="334">
        <v>3</v>
      </c>
      <c r="B1309" s="350" t="s">
        <v>25</v>
      </c>
      <c r="C1309" s="338" t="s">
        <v>1756</v>
      </c>
      <c r="D1309" s="498"/>
    </row>
    <row r="1310" spans="1:4" s="495" customFormat="1" x14ac:dyDescent="0.25">
      <c r="A1310" s="334"/>
      <c r="B1310" s="350" t="s">
        <v>417</v>
      </c>
      <c r="C1310" s="494" t="s">
        <v>1917</v>
      </c>
      <c r="D1310" s="498"/>
    </row>
    <row r="1311" spans="1:4" s="495" customFormat="1" x14ac:dyDescent="0.25">
      <c r="A1311" s="334"/>
      <c r="B1311" s="354" t="s">
        <v>497</v>
      </c>
      <c r="C1311" s="453"/>
      <c r="D1311" s="498"/>
    </row>
    <row r="1312" spans="1:4" s="495" customFormat="1" x14ac:dyDescent="0.25">
      <c r="A1312" s="334">
        <v>1</v>
      </c>
      <c r="B1312" s="527" t="s">
        <v>642</v>
      </c>
      <c r="C1312" s="338" t="s">
        <v>1757</v>
      </c>
      <c r="D1312" s="562"/>
    </row>
    <row r="1313" spans="1:4" s="495" customFormat="1" x14ac:dyDescent="0.25">
      <c r="A1313" s="334">
        <v>2</v>
      </c>
      <c r="B1313" s="350" t="s">
        <v>666</v>
      </c>
      <c r="C1313" s="338" t="s">
        <v>1758</v>
      </c>
      <c r="D1313" s="562"/>
    </row>
    <row r="1314" spans="1:4" s="495" customFormat="1" x14ac:dyDescent="0.25">
      <c r="A1314" s="334">
        <v>3</v>
      </c>
      <c r="B1314" s="350" t="s">
        <v>498</v>
      </c>
      <c r="C1314" s="338" t="s">
        <v>1759</v>
      </c>
      <c r="D1314" s="562"/>
    </row>
    <row r="1315" spans="1:4" s="495" customFormat="1" x14ac:dyDescent="0.25">
      <c r="A1315" s="334"/>
      <c r="B1315" s="364" t="s">
        <v>528</v>
      </c>
      <c r="C1315" s="453"/>
      <c r="D1315" s="498"/>
    </row>
    <row r="1316" spans="1:4" s="495" customFormat="1" x14ac:dyDescent="0.25">
      <c r="A1316" s="334">
        <v>1</v>
      </c>
      <c r="B1316" s="350" t="s">
        <v>495</v>
      </c>
      <c r="C1316" s="338" t="s">
        <v>1760</v>
      </c>
      <c r="D1316" s="498"/>
    </row>
    <row r="1317" spans="1:4" s="587" customFormat="1" ht="26.25" x14ac:dyDescent="0.25">
      <c r="A1317" s="472">
        <v>2</v>
      </c>
      <c r="B1317" s="473" t="s">
        <v>529</v>
      </c>
      <c r="C1317" s="471" t="s">
        <v>1337</v>
      </c>
      <c r="D1317" s="471" t="s">
        <v>2093</v>
      </c>
    </row>
    <row r="1318" spans="1:4" s="495" customFormat="1" ht="15.75" x14ac:dyDescent="0.25">
      <c r="A1318" s="334"/>
      <c r="B1318" s="380" t="s">
        <v>419</v>
      </c>
      <c r="C1318" s="338"/>
      <c r="D1318" s="498"/>
    </row>
    <row r="1319" spans="1:4" s="495" customFormat="1" x14ac:dyDescent="0.25">
      <c r="A1319" s="334">
        <v>1</v>
      </c>
      <c r="B1319" s="350" t="s">
        <v>420</v>
      </c>
      <c r="C1319" s="494" t="s">
        <v>1911</v>
      </c>
      <c r="D1319" s="498"/>
    </row>
    <row r="1320" spans="1:4" s="587" customFormat="1" ht="26.25" x14ac:dyDescent="0.25">
      <c r="A1320" s="472">
        <v>2</v>
      </c>
      <c r="B1320" s="615" t="s">
        <v>2095</v>
      </c>
      <c r="C1320" s="471" t="s">
        <v>1337</v>
      </c>
      <c r="D1320" s="471" t="s">
        <v>2099</v>
      </c>
    </row>
    <row r="1321" spans="1:4" s="495" customFormat="1" x14ac:dyDescent="0.25">
      <c r="A1321" s="334"/>
      <c r="B1321" s="349" t="s">
        <v>2096</v>
      </c>
      <c r="C1321" s="338" t="s">
        <v>1761</v>
      </c>
      <c r="D1321" s="562" t="s">
        <v>2097</v>
      </c>
    </row>
    <row r="1322" spans="1:4" s="495" customFormat="1" x14ac:dyDescent="0.25">
      <c r="A1322" s="340"/>
      <c r="B1322" s="547" t="s">
        <v>422</v>
      </c>
      <c r="C1322" s="338"/>
      <c r="D1322" s="498"/>
    </row>
    <row r="1323" spans="1:4" s="495" customFormat="1" x14ac:dyDescent="0.25">
      <c r="A1323" s="334">
        <v>3</v>
      </c>
      <c r="B1323" s="350" t="s">
        <v>412</v>
      </c>
      <c r="C1323" s="494" t="s">
        <v>1914</v>
      </c>
      <c r="D1323" s="498"/>
    </row>
    <row r="1324" spans="1:4" s="495" customFormat="1" x14ac:dyDescent="0.25">
      <c r="A1324" s="334">
        <v>4</v>
      </c>
      <c r="B1324" s="350" t="s">
        <v>423</v>
      </c>
      <c r="C1324" s="494" t="s">
        <v>1912</v>
      </c>
      <c r="D1324" s="498"/>
    </row>
    <row r="1325" spans="1:4" s="495" customFormat="1" x14ac:dyDescent="0.25">
      <c r="A1325" s="334"/>
      <c r="B1325" s="350" t="s">
        <v>1762</v>
      </c>
      <c r="C1325" s="494" t="s">
        <v>1915</v>
      </c>
      <c r="D1325" s="498"/>
    </row>
    <row r="1326" spans="1:4" s="495" customFormat="1" x14ac:dyDescent="0.25">
      <c r="A1326" s="334">
        <v>5</v>
      </c>
      <c r="B1326" s="349" t="s">
        <v>424</v>
      </c>
      <c r="C1326" s="338" t="s">
        <v>1763</v>
      </c>
      <c r="D1326" s="562"/>
    </row>
    <row r="1327" spans="1:4" s="495" customFormat="1" x14ac:dyDescent="0.25">
      <c r="A1327" s="334">
        <v>6</v>
      </c>
      <c r="B1327" s="349" t="s">
        <v>425</v>
      </c>
      <c r="C1327" s="494" t="s">
        <v>1913</v>
      </c>
      <c r="D1327" s="498"/>
    </row>
    <row r="1328" spans="1:4" s="495" customFormat="1" x14ac:dyDescent="0.25">
      <c r="A1328" s="340">
        <v>7</v>
      </c>
      <c r="B1328" s="350" t="s">
        <v>426</v>
      </c>
      <c r="C1328" s="338" t="s">
        <v>2098</v>
      </c>
      <c r="D1328" s="562" t="s">
        <v>2097</v>
      </c>
    </row>
    <row r="1329" spans="1:4" s="495" customFormat="1" x14ac:dyDescent="0.25">
      <c r="A1329" s="340">
        <v>8</v>
      </c>
      <c r="B1329" s="349" t="s">
        <v>427</v>
      </c>
      <c r="C1329" s="338" t="s">
        <v>1764</v>
      </c>
      <c r="D1329" s="562"/>
    </row>
    <row r="1330" spans="1:4" s="587" customFormat="1" ht="26.25" x14ac:dyDescent="0.25">
      <c r="A1330" s="481">
        <v>9</v>
      </c>
      <c r="B1330" s="615" t="s">
        <v>413</v>
      </c>
      <c r="C1330" s="471" t="s">
        <v>1337</v>
      </c>
      <c r="D1330" s="597" t="s">
        <v>2094</v>
      </c>
    </row>
    <row r="1331" spans="1:4" s="495" customFormat="1" x14ac:dyDescent="0.25">
      <c r="A1331" s="340"/>
      <c r="B1331" s="547" t="s">
        <v>428</v>
      </c>
      <c r="C1331" s="453"/>
      <c r="D1331" s="498"/>
    </row>
    <row r="1332" spans="1:4" s="495" customFormat="1" x14ac:dyDescent="0.25">
      <c r="A1332" s="334">
        <v>10</v>
      </c>
      <c r="B1332" s="359" t="s">
        <v>429</v>
      </c>
      <c r="C1332" s="338" t="s">
        <v>1765</v>
      </c>
      <c r="D1332" s="568"/>
    </row>
    <row r="1333" spans="1:4" s="495" customFormat="1" x14ac:dyDescent="0.25">
      <c r="A1333" s="334">
        <v>11</v>
      </c>
      <c r="B1333" s="359" t="s">
        <v>430</v>
      </c>
      <c r="C1333" s="338" t="s">
        <v>1766</v>
      </c>
      <c r="D1333" s="568"/>
    </row>
    <row r="1334" spans="1:4" s="495" customFormat="1" x14ac:dyDescent="0.25">
      <c r="A1334" s="334">
        <v>12</v>
      </c>
      <c r="B1334" s="349" t="s">
        <v>431</v>
      </c>
      <c r="C1334" s="338" t="s">
        <v>1767</v>
      </c>
      <c r="D1334" s="562"/>
    </row>
    <row r="1335" spans="1:4" s="495" customFormat="1" x14ac:dyDescent="0.25">
      <c r="A1335" s="334">
        <v>13</v>
      </c>
      <c r="B1335" s="349" t="s">
        <v>432</v>
      </c>
      <c r="C1335" s="338" t="s">
        <v>1768</v>
      </c>
      <c r="D1335" s="562"/>
    </row>
    <row r="1336" spans="1:4" s="495" customFormat="1" ht="12.75" customHeight="1" x14ac:dyDescent="0.25">
      <c r="A1336" s="334">
        <v>14</v>
      </c>
      <c r="B1336" s="349" t="s">
        <v>316</v>
      </c>
      <c r="C1336" s="338" t="s">
        <v>1769</v>
      </c>
      <c r="D1336" s="562"/>
    </row>
    <row r="1337" spans="1:4" s="495" customFormat="1" x14ac:dyDescent="0.25">
      <c r="A1337" s="334">
        <v>15</v>
      </c>
      <c r="B1337" s="349" t="s">
        <v>433</v>
      </c>
      <c r="C1337" s="338" t="s">
        <v>1770</v>
      </c>
      <c r="D1337" s="568"/>
    </row>
    <row r="1338" spans="1:4" s="495" customFormat="1" x14ac:dyDescent="0.25">
      <c r="A1338" s="334">
        <v>16</v>
      </c>
      <c r="B1338" s="349" t="s">
        <v>434</v>
      </c>
      <c r="C1338" s="338" t="s">
        <v>1771</v>
      </c>
      <c r="D1338" s="568"/>
    </row>
    <row r="1339" spans="1:4" s="495" customFormat="1" x14ac:dyDescent="0.25">
      <c r="A1339" s="398"/>
      <c r="B1339" s="354" t="s">
        <v>436</v>
      </c>
      <c r="C1339" s="454"/>
      <c r="D1339" s="498"/>
    </row>
    <row r="1340" spans="1:4" s="495" customFormat="1" x14ac:dyDescent="0.25">
      <c r="A1340" s="340">
        <v>1</v>
      </c>
      <c r="B1340" s="349" t="s">
        <v>437</v>
      </c>
      <c r="C1340" s="338" t="s">
        <v>1773</v>
      </c>
      <c r="D1340" s="498"/>
    </row>
    <row r="1341" spans="1:4" s="587" customFormat="1" x14ac:dyDescent="0.25">
      <c r="A1341" s="481"/>
      <c r="B1341" s="615" t="s">
        <v>1772</v>
      </c>
      <c r="C1341" s="471" t="s">
        <v>1337</v>
      </c>
      <c r="D1341" s="471" t="s">
        <v>2100</v>
      </c>
    </row>
    <row r="1342" spans="1:4" s="495" customFormat="1" x14ac:dyDescent="0.25">
      <c r="A1342" s="340">
        <v>2</v>
      </c>
      <c r="B1342" s="349" t="s">
        <v>25</v>
      </c>
      <c r="C1342" s="338" t="s">
        <v>1774</v>
      </c>
      <c r="D1342" s="498"/>
    </row>
    <row r="1343" spans="1:4" s="495" customFormat="1" x14ac:dyDescent="0.25">
      <c r="A1343" s="334">
        <v>3</v>
      </c>
      <c r="B1343" s="350" t="s">
        <v>438</v>
      </c>
      <c r="C1343" s="338" t="s">
        <v>1775</v>
      </c>
      <c r="D1343" s="562"/>
    </row>
    <row r="1344" spans="1:4" s="495" customFormat="1" x14ac:dyDescent="0.25">
      <c r="A1344" s="340">
        <v>4</v>
      </c>
      <c r="B1344" s="350" t="s">
        <v>439</v>
      </c>
      <c r="C1344" s="338" t="s">
        <v>1776</v>
      </c>
      <c r="D1344" s="562"/>
    </row>
    <row r="1345" spans="1:4" s="495" customFormat="1" x14ac:dyDescent="0.25">
      <c r="A1345" s="340">
        <v>5</v>
      </c>
      <c r="B1345" s="350" t="s">
        <v>440</v>
      </c>
      <c r="C1345" s="385" t="s">
        <v>1777</v>
      </c>
      <c r="D1345" s="498"/>
    </row>
    <row r="1346" spans="1:4" s="495" customFormat="1" x14ac:dyDescent="0.25">
      <c r="A1346" s="340">
        <v>6</v>
      </c>
      <c r="B1346" s="350" t="s">
        <v>25</v>
      </c>
      <c r="C1346" s="385" t="s">
        <v>1774</v>
      </c>
      <c r="D1346" s="498"/>
    </row>
    <row r="1347" spans="1:4" s="495" customFormat="1" x14ac:dyDescent="0.25">
      <c r="A1347" s="340"/>
      <c r="B1347" s="351" t="s">
        <v>441</v>
      </c>
      <c r="C1347" s="385"/>
      <c r="D1347" s="498"/>
    </row>
    <row r="1348" spans="1:4" s="495" customFormat="1" x14ac:dyDescent="0.25">
      <c r="A1348" s="340">
        <v>1</v>
      </c>
      <c r="B1348" s="350" t="s">
        <v>442</v>
      </c>
      <c r="C1348" s="385" t="s">
        <v>1778</v>
      </c>
      <c r="D1348" s="498"/>
    </row>
    <row r="1349" spans="1:4" s="495" customFormat="1" x14ac:dyDescent="0.25">
      <c r="A1349" s="340">
        <v>2</v>
      </c>
      <c r="B1349" s="350" t="s">
        <v>443</v>
      </c>
      <c r="C1349" s="385" t="s">
        <v>1779</v>
      </c>
      <c r="D1349" s="563"/>
    </row>
    <row r="1350" spans="1:4" s="495" customFormat="1" x14ac:dyDescent="0.25">
      <c r="A1350" s="340">
        <v>3</v>
      </c>
      <c r="B1350" s="350" t="s">
        <v>444</v>
      </c>
      <c r="C1350" s="385" t="s">
        <v>1780</v>
      </c>
      <c r="D1350" s="563"/>
    </row>
    <row r="1351" spans="1:4" s="495" customFormat="1" x14ac:dyDescent="0.25">
      <c r="A1351" s="340">
        <v>4</v>
      </c>
      <c r="B1351" s="350" t="s">
        <v>445</v>
      </c>
      <c r="C1351" s="385" t="s">
        <v>1781</v>
      </c>
      <c r="D1351" s="563"/>
    </row>
    <row r="1352" spans="1:4" s="495" customFormat="1" x14ac:dyDescent="0.25">
      <c r="A1352" s="340">
        <v>5</v>
      </c>
      <c r="B1352" s="350" t="s">
        <v>446</v>
      </c>
      <c r="C1352" s="385" t="s">
        <v>1782</v>
      </c>
      <c r="D1352" s="498"/>
    </row>
    <row r="1353" spans="1:4" s="495" customFormat="1" x14ac:dyDescent="0.25">
      <c r="A1353" s="340">
        <v>6</v>
      </c>
      <c r="B1353" s="350" t="s">
        <v>1403</v>
      </c>
      <c r="C1353" s="385" t="s">
        <v>1783</v>
      </c>
      <c r="D1353" s="498"/>
    </row>
    <row r="1354" spans="1:4" s="495" customFormat="1" x14ac:dyDescent="0.25">
      <c r="A1354" s="340">
        <v>7</v>
      </c>
      <c r="B1354" s="350" t="s">
        <v>299</v>
      </c>
      <c r="C1354" s="338" t="s">
        <v>1784</v>
      </c>
      <c r="D1354" s="562"/>
    </row>
    <row r="1355" spans="1:4" s="495" customFormat="1" x14ac:dyDescent="0.25">
      <c r="A1355" s="363"/>
      <c r="B1355" s="665" t="s">
        <v>2344</v>
      </c>
      <c r="C1355" s="385"/>
      <c r="D1355" s="498"/>
    </row>
    <row r="1356" spans="1:4" s="495" customFormat="1" x14ac:dyDescent="0.25">
      <c r="A1356" s="363"/>
      <c r="B1356" s="666" t="s">
        <v>2345</v>
      </c>
      <c r="C1356" s="385"/>
      <c r="D1356" s="498"/>
    </row>
    <row r="1357" spans="1:4" s="495" customFormat="1" x14ac:dyDescent="0.25">
      <c r="A1357" s="667">
        <v>1</v>
      </c>
      <c r="B1357" s="355" t="s">
        <v>2346</v>
      </c>
      <c r="C1357" s="385" t="s">
        <v>2347</v>
      </c>
      <c r="D1357" s="498"/>
    </row>
    <row r="1358" spans="1:4" s="495" customFormat="1" x14ac:dyDescent="0.25">
      <c r="A1358" s="667">
        <v>2</v>
      </c>
      <c r="B1358" s="355" t="s">
        <v>2348</v>
      </c>
      <c r="C1358" s="385" t="s">
        <v>2349</v>
      </c>
      <c r="D1358" s="498"/>
    </row>
    <row r="1359" spans="1:4" s="495" customFormat="1" x14ac:dyDescent="0.25">
      <c r="A1359" s="667">
        <v>3</v>
      </c>
      <c r="B1359" s="355" t="s">
        <v>2350</v>
      </c>
      <c r="C1359" s="385" t="s">
        <v>2351</v>
      </c>
      <c r="D1359" s="498"/>
    </row>
    <row r="1360" spans="1:4" s="495" customFormat="1" x14ac:dyDescent="0.25">
      <c r="A1360" s="667">
        <v>4</v>
      </c>
      <c r="B1360" s="355" t="s">
        <v>2352</v>
      </c>
      <c r="C1360" s="385" t="s">
        <v>2353</v>
      </c>
      <c r="D1360" s="498"/>
    </row>
    <row r="1361" spans="1:4" s="495" customFormat="1" x14ac:dyDescent="0.25">
      <c r="A1361" s="667">
        <v>5</v>
      </c>
      <c r="B1361" s="355" t="s">
        <v>2354</v>
      </c>
      <c r="C1361" s="385" t="s">
        <v>2355</v>
      </c>
      <c r="D1361" s="498"/>
    </row>
    <row r="1362" spans="1:4" s="495" customFormat="1" x14ac:dyDescent="0.25">
      <c r="A1362" s="667">
        <v>6</v>
      </c>
      <c r="B1362" s="355" t="s">
        <v>88</v>
      </c>
      <c r="C1362" s="385" t="s">
        <v>2356</v>
      </c>
      <c r="D1362" s="498"/>
    </row>
    <row r="1363" spans="1:4" s="495" customFormat="1" x14ac:dyDescent="0.25">
      <c r="A1363" s="667">
        <v>7</v>
      </c>
      <c r="B1363" s="355" t="s">
        <v>59</v>
      </c>
      <c r="C1363" s="385" t="s">
        <v>2357</v>
      </c>
      <c r="D1363" s="498"/>
    </row>
    <row r="1364" spans="1:4" s="495" customFormat="1" x14ac:dyDescent="0.25">
      <c r="A1364" s="667">
        <v>8</v>
      </c>
      <c r="B1364" s="355" t="s">
        <v>81</v>
      </c>
      <c r="C1364" s="385" t="s">
        <v>2358</v>
      </c>
      <c r="D1364" s="498"/>
    </row>
    <row r="1365" spans="1:4" s="495" customFormat="1" x14ac:dyDescent="0.25">
      <c r="A1365" s="667">
        <v>9</v>
      </c>
      <c r="B1365" s="355" t="s">
        <v>92</v>
      </c>
      <c r="C1365" s="385" t="s">
        <v>2359</v>
      </c>
      <c r="D1365" s="498"/>
    </row>
    <row r="1366" spans="1:4" s="495" customFormat="1" x14ac:dyDescent="0.25">
      <c r="A1366" s="667">
        <v>10</v>
      </c>
      <c r="B1366" s="355" t="s">
        <v>90</v>
      </c>
      <c r="C1366" s="385" t="s">
        <v>2360</v>
      </c>
      <c r="D1366" s="498"/>
    </row>
    <row r="1367" spans="1:4" s="495" customFormat="1" x14ac:dyDescent="0.25">
      <c r="A1367" s="667">
        <v>11</v>
      </c>
      <c r="B1367" s="355" t="s">
        <v>2361</v>
      </c>
      <c r="C1367" s="385" t="s">
        <v>2362</v>
      </c>
      <c r="D1367" s="498"/>
    </row>
    <row r="1368" spans="1:4" s="495" customFormat="1" x14ac:dyDescent="0.25">
      <c r="A1368" s="667">
        <v>12</v>
      </c>
      <c r="B1368" s="355" t="s">
        <v>536</v>
      </c>
      <c r="C1368" s="385" t="s">
        <v>2363</v>
      </c>
      <c r="D1368" s="498"/>
    </row>
    <row r="1369" spans="1:4" s="495" customFormat="1" x14ac:dyDescent="0.25">
      <c r="A1369" s="667">
        <v>13</v>
      </c>
      <c r="B1369" s="355" t="s">
        <v>550</v>
      </c>
      <c r="C1369" s="385" t="s">
        <v>2364</v>
      </c>
      <c r="D1369" s="498"/>
    </row>
    <row r="1370" spans="1:4" s="495" customFormat="1" x14ac:dyDescent="0.25">
      <c r="A1370" s="667">
        <v>14</v>
      </c>
      <c r="B1370" s="355" t="s">
        <v>68</v>
      </c>
      <c r="C1370" s="385" t="s">
        <v>2365</v>
      </c>
      <c r="D1370" s="498"/>
    </row>
    <row r="1371" spans="1:4" s="495" customFormat="1" x14ac:dyDescent="0.25">
      <c r="A1371" s="667">
        <v>15</v>
      </c>
      <c r="B1371" s="355" t="s">
        <v>83</v>
      </c>
      <c r="C1371" s="385" t="s">
        <v>2366</v>
      </c>
      <c r="D1371" s="498"/>
    </row>
    <row r="1372" spans="1:4" s="495" customFormat="1" x14ac:dyDescent="0.25">
      <c r="A1372" s="667">
        <v>16</v>
      </c>
      <c r="B1372" s="355" t="s">
        <v>2367</v>
      </c>
      <c r="C1372" s="385" t="s">
        <v>2368</v>
      </c>
      <c r="D1372" s="498"/>
    </row>
    <row r="1373" spans="1:4" s="495" customFormat="1" x14ac:dyDescent="0.25">
      <c r="A1373" s="667">
        <v>17</v>
      </c>
      <c r="B1373" s="355" t="s">
        <v>338</v>
      </c>
      <c r="C1373" s="385" t="s">
        <v>2369</v>
      </c>
      <c r="D1373" s="498"/>
    </row>
    <row r="1374" spans="1:4" s="495" customFormat="1" x14ac:dyDescent="0.25">
      <c r="A1374" s="667">
        <v>18</v>
      </c>
      <c r="B1374" s="355" t="s">
        <v>64</v>
      </c>
      <c r="C1374" s="385" t="s">
        <v>2370</v>
      </c>
      <c r="D1374" s="498"/>
    </row>
    <row r="1375" spans="1:4" s="495" customFormat="1" x14ac:dyDescent="0.25">
      <c r="A1375" s="667">
        <v>19</v>
      </c>
      <c r="B1375" s="355" t="s">
        <v>282</v>
      </c>
      <c r="C1375" s="385" t="s">
        <v>2371</v>
      </c>
      <c r="D1375" s="498"/>
    </row>
    <row r="1376" spans="1:4" s="495" customFormat="1" x14ac:dyDescent="0.25">
      <c r="A1376" s="667">
        <v>20</v>
      </c>
      <c r="B1376" s="355" t="s">
        <v>2372</v>
      </c>
      <c r="C1376" s="385" t="s">
        <v>2373</v>
      </c>
      <c r="D1376" s="498"/>
    </row>
    <row r="1377" spans="1:4" s="495" customFormat="1" x14ac:dyDescent="0.25">
      <c r="A1377" s="667"/>
      <c r="B1377" s="666" t="s">
        <v>2374</v>
      </c>
      <c r="C1377" s="385"/>
      <c r="D1377" s="498"/>
    </row>
    <row r="1378" spans="1:4" s="495" customFormat="1" x14ac:dyDescent="0.25">
      <c r="A1378" s="667">
        <v>21</v>
      </c>
      <c r="B1378" s="355" t="s">
        <v>2375</v>
      </c>
      <c r="C1378" s="385" t="s">
        <v>2376</v>
      </c>
      <c r="D1378" s="498"/>
    </row>
    <row r="1379" spans="1:4" s="495" customFormat="1" x14ac:dyDescent="0.25">
      <c r="A1379" s="667">
        <v>22</v>
      </c>
      <c r="B1379" s="355" t="s">
        <v>123</v>
      </c>
      <c r="C1379" s="385" t="s">
        <v>2377</v>
      </c>
      <c r="D1379" s="498"/>
    </row>
    <row r="1380" spans="1:4" s="495" customFormat="1" x14ac:dyDescent="0.25">
      <c r="A1380" s="667">
        <v>23</v>
      </c>
      <c r="B1380" s="355" t="s">
        <v>2378</v>
      </c>
      <c r="C1380" s="385" t="s">
        <v>2379</v>
      </c>
      <c r="D1380" s="498"/>
    </row>
    <row r="1381" spans="1:4" s="495" customFormat="1" x14ac:dyDescent="0.25">
      <c r="A1381" s="667">
        <v>24</v>
      </c>
      <c r="B1381" s="355" t="s">
        <v>1853</v>
      </c>
      <c r="C1381" s="385" t="s">
        <v>2380</v>
      </c>
      <c r="D1381" s="498"/>
    </row>
    <row r="1382" spans="1:4" s="495" customFormat="1" x14ac:dyDescent="0.25">
      <c r="A1382" s="667"/>
      <c r="B1382" s="666" t="s">
        <v>2381</v>
      </c>
      <c r="C1382" s="385"/>
      <c r="D1382" s="498"/>
    </row>
    <row r="1383" spans="1:4" s="495" customFormat="1" x14ac:dyDescent="0.25">
      <c r="A1383" s="667">
        <v>25</v>
      </c>
      <c r="B1383" s="355" t="s">
        <v>196</v>
      </c>
      <c r="C1383" s="385" t="s">
        <v>2382</v>
      </c>
      <c r="D1383" s="498"/>
    </row>
    <row r="1384" spans="1:4" s="495" customFormat="1" x14ac:dyDescent="0.25">
      <c r="A1384" s="667">
        <v>26</v>
      </c>
      <c r="B1384" s="355" t="s">
        <v>2383</v>
      </c>
      <c r="C1384" s="385" t="s">
        <v>2384</v>
      </c>
      <c r="D1384" s="498"/>
    </row>
    <row r="1385" spans="1:4" s="495" customFormat="1" x14ac:dyDescent="0.25">
      <c r="A1385" s="667">
        <v>27</v>
      </c>
      <c r="B1385" s="355" t="s">
        <v>2385</v>
      </c>
      <c r="C1385" s="385" t="s">
        <v>2386</v>
      </c>
      <c r="D1385" s="498"/>
    </row>
    <row r="1386" spans="1:4" s="495" customFormat="1" x14ac:dyDescent="0.25">
      <c r="A1386" s="667">
        <v>28</v>
      </c>
      <c r="B1386" s="355" t="s">
        <v>2387</v>
      </c>
      <c r="C1386" s="385" t="s">
        <v>2388</v>
      </c>
      <c r="D1386" s="498"/>
    </row>
    <row r="1387" spans="1:4" s="495" customFormat="1" x14ac:dyDescent="0.25">
      <c r="A1387" s="667">
        <v>29</v>
      </c>
      <c r="B1387" s="355" t="s">
        <v>1853</v>
      </c>
      <c r="C1387" s="385" t="s">
        <v>2389</v>
      </c>
      <c r="D1387" s="498"/>
    </row>
    <row r="1388" spans="1:4" s="495" customFormat="1" x14ac:dyDescent="0.25">
      <c r="A1388" s="667"/>
      <c r="B1388" s="666" t="s">
        <v>97</v>
      </c>
      <c r="C1388" s="385"/>
      <c r="D1388" s="498"/>
    </row>
    <row r="1389" spans="1:4" s="495" customFormat="1" x14ac:dyDescent="0.25">
      <c r="A1389" s="667">
        <v>30</v>
      </c>
      <c r="B1389" s="355" t="s">
        <v>2390</v>
      </c>
      <c r="C1389" s="385" t="s">
        <v>2391</v>
      </c>
      <c r="D1389" s="498"/>
    </row>
    <row r="1390" spans="1:4" s="495" customFormat="1" x14ac:dyDescent="0.25">
      <c r="A1390" s="667">
        <v>31</v>
      </c>
      <c r="B1390" s="355" t="s">
        <v>2392</v>
      </c>
      <c r="C1390" s="385" t="s">
        <v>2393</v>
      </c>
      <c r="D1390" s="498"/>
    </row>
    <row r="1391" spans="1:4" s="495" customFormat="1" x14ac:dyDescent="0.25">
      <c r="A1391" s="667">
        <v>32</v>
      </c>
      <c r="B1391" s="355" t="s">
        <v>2394</v>
      </c>
      <c r="C1391" s="385" t="s">
        <v>2395</v>
      </c>
      <c r="D1391" s="498"/>
    </row>
    <row r="1392" spans="1:4" s="495" customFormat="1" x14ac:dyDescent="0.25">
      <c r="A1392" s="363"/>
      <c r="B1392" s="665" t="s">
        <v>447</v>
      </c>
      <c r="C1392" s="385"/>
      <c r="D1392" s="498"/>
    </row>
    <row r="1393" spans="1:4" s="495" customFormat="1" ht="26.25" x14ac:dyDescent="0.25">
      <c r="A1393" s="334">
        <v>1</v>
      </c>
      <c r="B1393" s="339" t="s">
        <v>643</v>
      </c>
      <c r="C1393" s="338" t="s">
        <v>721</v>
      </c>
      <c r="D1393" s="498"/>
    </row>
    <row r="1394" spans="1:4" s="495" customFormat="1" ht="26.25" x14ac:dyDescent="0.25">
      <c r="A1394" s="334">
        <v>2</v>
      </c>
      <c r="B1394" s="339" t="s">
        <v>667</v>
      </c>
      <c r="C1394" s="385" t="s">
        <v>1785</v>
      </c>
      <c r="D1394" s="562"/>
    </row>
    <row r="1395" spans="1:4" s="495" customFormat="1" x14ac:dyDescent="0.25">
      <c r="A1395" s="352"/>
      <c r="B1395" s="505"/>
      <c r="C1395" s="453"/>
      <c r="D1395" s="498"/>
    </row>
    <row r="1396" spans="1:4" s="495" customFormat="1" x14ac:dyDescent="0.25">
      <c r="A1396" s="370"/>
      <c r="B1396" s="390" t="s">
        <v>2396</v>
      </c>
      <c r="C1396" s="385"/>
      <c r="D1396" s="498"/>
    </row>
    <row r="1397" spans="1:4" s="495" customFormat="1" x14ac:dyDescent="0.25">
      <c r="A1397" s="334">
        <v>2</v>
      </c>
      <c r="B1397" s="335" t="s">
        <v>449</v>
      </c>
      <c r="C1397" s="494" t="s">
        <v>1909</v>
      </c>
      <c r="D1397" s="498"/>
    </row>
    <row r="1398" spans="1:4" s="495" customFormat="1" x14ac:dyDescent="0.25">
      <c r="A1398" s="334">
        <v>3</v>
      </c>
      <c r="B1398" s="335" t="s">
        <v>450</v>
      </c>
      <c r="C1398" s="385" t="s">
        <v>1786</v>
      </c>
      <c r="D1398" s="562"/>
    </row>
    <row r="1399" spans="1:4" s="495" customFormat="1" x14ac:dyDescent="0.25">
      <c r="A1399" s="334">
        <v>4</v>
      </c>
      <c r="B1399" s="335" t="s">
        <v>451</v>
      </c>
      <c r="C1399" s="385" t="s">
        <v>1787</v>
      </c>
      <c r="D1399" s="562"/>
    </row>
    <row r="1400" spans="1:4" s="495" customFormat="1" x14ac:dyDescent="0.25">
      <c r="A1400" s="334"/>
      <c r="B1400" s="390" t="s">
        <v>452</v>
      </c>
      <c r="C1400" s="446"/>
      <c r="D1400" s="498"/>
    </row>
    <row r="1401" spans="1:4" s="495" customFormat="1" x14ac:dyDescent="0.25">
      <c r="A1401" s="334">
        <v>5</v>
      </c>
      <c r="B1401" s="335" t="s">
        <v>453</v>
      </c>
      <c r="C1401" s="338" t="s">
        <v>1788</v>
      </c>
      <c r="D1401" s="563"/>
    </row>
    <row r="1402" spans="1:4" s="495" customFormat="1" x14ac:dyDescent="0.25">
      <c r="A1402" s="334">
        <v>6</v>
      </c>
      <c r="B1402" s="335" t="s">
        <v>454</v>
      </c>
      <c r="C1402" s="338" t="s">
        <v>1789</v>
      </c>
      <c r="D1402" s="563"/>
    </row>
    <row r="1403" spans="1:4" s="495" customFormat="1" x14ac:dyDescent="0.25">
      <c r="A1403" s="334">
        <v>7</v>
      </c>
      <c r="B1403" s="335" t="s">
        <v>455</v>
      </c>
      <c r="C1403" s="338" t="s">
        <v>1790</v>
      </c>
      <c r="D1403" s="563"/>
    </row>
  </sheetData>
  <pageMargins left="0.70866141732283472" right="0" top="0.74803149606299213" bottom="0.74803149606299213" header="0.31496062992125984" footer="0.31496062992125984"/>
  <pageSetup paperSize="9" scale="6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7"/>
  <sheetViews>
    <sheetView topLeftCell="A51" workbookViewId="0">
      <selection activeCell="B59" sqref="B59"/>
    </sheetView>
  </sheetViews>
  <sheetFormatPr defaultRowHeight="15" x14ac:dyDescent="0.25"/>
  <cols>
    <col min="1" max="1" width="4.28515625" style="1" customWidth="1"/>
    <col min="2" max="2" width="48.28515625" customWidth="1"/>
    <col min="3" max="3" width="54.7109375" style="445" customWidth="1"/>
    <col min="4" max="4" width="43.140625" style="418" customWidth="1"/>
    <col min="5" max="5" width="40.28515625" customWidth="1"/>
  </cols>
  <sheetData>
    <row r="1" spans="1:10" x14ac:dyDescent="0.25">
      <c r="A1" s="5"/>
      <c r="B1" s="45"/>
      <c r="C1" s="467"/>
    </row>
    <row r="2" spans="1:10" x14ac:dyDescent="0.25">
      <c r="A2" s="5"/>
      <c r="B2" s="5"/>
      <c r="C2" s="467"/>
      <c r="E2" s="5"/>
      <c r="F2" s="5"/>
      <c r="G2" s="5"/>
      <c r="H2" s="46" t="s">
        <v>0</v>
      </c>
      <c r="I2" s="5"/>
    </row>
    <row r="3" spans="1:10" x14ac:dyDescent="0.25">
      <c r="A3" s="5"/>
      <c r="B3" s="5"/>
      <c r="C3" s="467"/>
      <c r="E3" s="1"/>
      <c r="F3" s="47"/>
      <c r="G3" s="47"/>
      <c r="H3" s="5"/>
      <c r="I3" s="319" t="s">
        <v>567</v>
      </c>
      <c r="J3" s="2"/>
    </row>
    <row r="4" spans="1:10" x14ac:dyDescent="0.25">
      <c r="A4" s="6"/>
      <c r="B4" s="48"/>
      <c r="C4" s="467"/>
      <c r="E4" s="5"/>
      <c r="F4" s="5"/>
      <c r="G4" s="5"/>
      <c r="H4" s="5"/>
      <c r="I4" s="5"/>
    </row>
    <row r="5" spans="1:10" ht="18.75" x14ac:dyDescent="0.3">
      <c r="A5" s="10"/>
      <c r="B5" s="51" t="s">
        <v>4</v>
      </c>
      <c r="C5" s="467"/>
      <c r="E5" s="1"/>
      <c r="F5" s="1"/>
      <c r="G5" s="1"/>
      <c r="I5" s="1"/>
    </row>
    <row r="6" spans="1:10" ht="15.75" x14ac:dyDescent="0.25">
      <c r="A6" s="10"/>
      <c r="B6" s="5"/>
      <c r="C6" s="467"/>
    </row>
    <row r="7" spans="1:10" ht="18.75" x14ac:dyDescent="0.3">
      <c r="A7" s="11"/>
      <c r="B7" s="52" t="s">
        <v>570</v>
      </c>
      <c r="C7" s="442"/>
      <c r="E7" s="8"/>
      <c r="F7" s="8" t="s">
        <v>568</v>
      </c>
      <c r="G7" s="7">
        <v>2265.75</v>
      </c>
      <c r="H7" s="328" t="s">
        <v>2</v>
      </c>
      <c r="I7" s="328"/>
    </row>
    <row r="8" spans="1:10" ht="18.75" x14ac:dyDescent="0.3">
      <c r="A8" s="11"/>
      <c r="B8" s="51" t="s">
        <v>671</v>
      </c>
      <c r="C8" s="442"/>
      <c r="D8" s="419"/>
      <c r="E8" s="5"/>
      <c r="F8" s="5"/>
      <c r="G8" s="13"/>
      <c r="H8" s="5"/>
      <c r="I8" s="2"/>
    </row>
    <row r="9" spans="1:10" ht="15.75" x14ac:dyDescent="0.25">
      <c r="A9" s="6" t="s">
        <v>5</v>
      </c>
      <c r="B9" s="13"/>
      <c r="C9" s="442"/>
      <c r="D9" s="419"/>
      <c r="E9" s="5"/>
      <c r="F9" s="5"/>
      <c r="G9" s="13"/>
      <c r="H9" s="5"/>
      <c r="I9" s="2"/>
    </row>
    <row r="10" spans="1:10" x14ac:dyDescent="0.25">
      <c r="A10" s="6" t="s">
        <v>6</v>
      </c>
      <c r="B10" s="5"/>
      <c r="C10" s="442"/>
      <c r="D10" s="420"/>
      <c r="E10" s="12"/>
      <c r="F10" s="12"/>
      <c r="G10" s="5"/>
      <c r="H10" s="5"/>
    </row>
    <row r="11" spans="1:10" x14ac:dyDescent="0.25">
      <c r="A11" s="11"/>
      <c r="B11" s="5"/>
      <c r="C11" s="442"/>
    </row>
    <row r="12" spans="1:10" x14ac:dyDescent="0.25">
      <c r="A12" s="9" t="s">
        <v>7</v>
      </c>
      <c r="B12" s="5"/>
      <c r="C12" s="442"/>
    </row>
    <row r="13" spans="1:10" x14ac:dyDescent="0.25">
      <c r="A13" s="672" t="s">
        <v>8</v>
      </c>
      <c r="B13" s="675" t="s">
        <v>9</v>
      </c>
      <c r="C13" s="691" t="s">
        <v>673</v>
      </c>
      <c r="D13" s="677" t="s">
        <v>1289</v>
      </c>
    </row>
    <row r="14" spans="1:10" x14ac:dyDescent="0.25">
      <c r="A14" s="672"/>
      <c r="B14" s="675"/>
      <c r="C14" s="691"/>
      <c r="D14" s="678"/>
    </row>
    <row r="15" spans="1:10" ht="15.75" x14ac:dyDescent="0.25">
      <c r="A15" s="56"/>
      <c r="B15" s="57" t="s">
        <v>14</v>
      </c>
      <c r="C15" s="58"/>
      <c r="D15" s="421"/>
    </row>
    <row r="16" spans="1:10" x14ac:dyDescent="0.25">
      <c r="A16" s="56"/>
      <c r="B16" s="62" t="s">
        <v>15</v>
      </c>
      <c r="C16" s="409"/>
      <c r="D16" s="421"/>
    </row>
    <row r="17" spans="1:4" s="336" customFormat="1" x14ac:dyDescent="0.25">
      <c r="A17" s="334">
        <v>1</v>
      </c>
      <c r="B17" s="335" t="s">
        <v>572</v>
      </c>
      <c r="C17" s="338" t="s">
        <v>674</v>
      </c>
      <c r="D17" s="422"/>
    </row>
    <row r="18" spans="1:4" s="336" customFormat="1" x14ac:dyDescent="0.25">
      <c r="A18" s="334">
        <v>2</v>
      </c>
      <c r="B18" s="337" t="s">
        <v>16</v>
      </c>
      <c r="C18" s="338" t="s">
        <v>769</v>
      </c>
      <c r="D18" s="423"/>
    </row>
    <row r="19" spans="1:4" s="336" customFormat="1" ht="26.25" x14ac:dyDescent="0.25">
      <c r="A19" s="334">
        <v>3</v>
      </c>
      <c r="B19" s="339" t="s">
        <v>573</v>
      </c>
      <c r="C19" s="338" t="s">
        <v>1337</v>
      </c>
      <c r="D19" s="423" t="s">
        <v>1327</v>
      </c>
    </row>
    <row r="20" spans="1:4" s="336" customFormat="1" ht="26.25" x14ac:dyDescent="0.25">
      <c r="A20" s="334">
        <v>4</v>
      </c>
      <c r="B20" s="339" t="s">
        <v>654</v>
      </c>
      <c r="C20" s="338" t="s">
        <v>1337</v>
      </c>
      <c r="D20" s="423" t="s">
        <v>1328</v>
      </c>
    </row>
    <row r="21" spans="1:4" s="336" customFormat="1" ht="26.25" x14ac:dyDescent="0.25">
      <c r="A21" s="334">
        <v>5</v>
      </c>
      <c r="B21" s="339" t="s">
        <v>535</v>
      </c>
      <c r="C21" s="338" t="s">
        <v>675</v>
      </c>
      <c r="D21" s="422"/>
    </row>
    <row r="22" spans="1:4" s="336" customFormat="1" ht="26.25" x14ac:dyDescent="0.25">
      <c r="A22" s="340">
        <v>6</v>
      </c>
      <c r="B22" s="339" t="s">
        <v>17</v>
      </c>
      <c r="C22" s="338" t="s">
        <v>676</v>
      </c>
      <c r="D22" s="422"/>
    </row>
    <row r="23" spans="1:4" s="336" customFormat="1" x14ac:dyDescent="0.25">
      <c r="A23" s="340">
        <v>7</v>
      </c>
      <c r="B23" s="335" t="s">
        <v>18</v>
      </c>
      <c r="C23" s="338" t="s">
        <v>770</v>
      </c>
      <c r="D23" s="422"/>
    </row>
    <row r="24" spans="1:4" s="336" customFormat="1" x14ac:dyDescent="0.25">
      <c r="A24" s="341">
        <v>8</v>
      </c>
      <c r="B24" s="335" t="s">
        <v>19</v>
      </c>
      <c r="C24" s="338" t="s">
        <v>771</v>
      </c>
      <c r="D24" s="422"/>
    </row>
    <row r="25" spans="1:4" x14ac:dyDescent="0.25">
      <c r="A25" s="56"/>
      <c r="B25" s="406" t="s">
        <v>522</v>
      </c>
      <c r="C25" s="271"/>
      <c r="D25" s="421"/>
    </row>
    <row r="26" spans="1:4" s="345" customFormat="1" x14ac:dyDescent="0.25">
      <c r="A26" s="343">
        <v>1</v>
      </c>
      <c r="B26" s="344" t="s">
        <v>523</v>
      </c>
      <c r="C26" s="679" t="s">
        <v>1329</v>
      </c>
      <c r="D26" s="680"/>
    </row>
    <row r="27" spans="1:4" s="345" customFormat="1" x14ac:dyDescent="0.25">
      <c r="A27" s="343">
        <v>2</v>
      </c>
      <c r="B27" s="344" t="s">
        <v>64</v>
      </c>
      <c r="C27" s="681"/>
      <c r="D27" s="682"/>
    </row>
    <row r="28" spans="1:4" s="345" customFormat="1" x14ac:dyDescent="0.25">
      <c r="A28" s="343">
        <v>3</v>
      </c>
      <c r="B28" s="344" t="s">
        <v>45</v>
      </c>
      <c r="C28" s="681"/>
      <c r="D28" s="682"/>
    </row>
    <row r="29" spans="1:4" s="345" customFormat="1" x14ac:dyDescent="0.25">
      <c r="A29" s="343">
        <v>4</v>
      </c>
      <c r="B29" s="344" t="s">
        <v>653</v>
      </c>
      <c r="C29" s="683"/>
      <c r="D29" s="684"/>
    </row>
    <row r="30" spans="1:4" x14ac:dyDescent="0.25">
      <c r="A30" s="61"/>
      <c r="B30" s="79" t="s">
        <v>21</v>
      </c>
      <c r="C30" s="443"/>
      <c r="D30" s="421"/>
    </row>
    <row r="31" spans="1:4" ht="26.25" x14ac:dyDescent="0.25">
      <c r="A31" s="61">
        <v>1</v>
      </c>
      <c r="B31" s="342" t="s">
        <v>22</v>
      </c>
      <c r="C31" s="113" t="s">
        <v>1336</v>
      </c>
      <c r="D31" s="152" t="s">
        <v>1330</v>
      </c>
    </row>
    <row r="32" spans="1:4" ht="39" x14ac:dyDescent="0.25">
      <c r="A32" s="61">
        <v>2</v>
      </c>
      <c r="B32" s="70" t="s">
        <v>23</v>
      </c>
      <c r="C32" s="260" t="s">
        <v>1337</v>
      </c>
      <c r="D32" s="405" t="s">
        <v>1331</v>
      </c>
    </row>
    <row r="33" spans="1:4" ht="39" x14ac:dyDescent="0.25">
      <c r="A33" s="61">
        <v>3</v>
      </c>
      <c r="B33" s="65" t="s">
        <v>24</v>
      </c>
      <c r="C33" s="260" t="s">
        <v>1337</v>
      </c>
      <c r="D33" s="424" t="s">
        <v>1332</v>
      </c>
    </row>
    <row r="34" spans="1:4" x14ac:dyDescent="0.25">
      <c r="A34" s="61">
        <v>4</v>
      </c>
      <c r="B34" s="76" t="s">
        <v>25</v>
      </c>
      <c r="C34" s="223" t="s">
        <v>678</v>
      </c>
      <c r="D34" s="421"/>
    </row>
    <row r="35" spans="1:4" x14ac:dyDescent="0.25">
      <c r="A35" s="61">
        <v>5</v>
      </c>
      <c r="B35" s="65" t="s">
        <v>26</v>
      </c>
      <c r="C35" s="223" t="s">
        <v>679</v>
      </c>
      <c r="D35" s="421"/>
    </row>
    <row r="36" spans="1:4" x14ac:dyDescent="0.25">
      <c r="A36" s="685" t="s">
        <v>672</v>
      </c>
      <c r="B36" s="686"/>
      <c r="C36" s="271"/>
      <c r="D36" s="421"/>
    </row>
    <row r="37" spans="1:4" ht="39" x14ac:dyDescent="0.25">
      <c r="A37" s="323">
        <v>1</v>
      </c>
      <c r="B37" s="103" t="s">
        <v>662</v>
      </c>
      <c r="C37" s="223" t="s">
        <v>1337</v>
      </c>
      <c r="D37" s="412" t="s">
        <v>1334</v>
      </c>
    </row>
    <row r="38" spans="1:4" ht="39" x14ac:dyDescent="0.25">
      <c r="A38" s="61">
        <v>2</v>
      </c>
      <c r="B38" s="86" t="s">
        <v>527</v>
      </c>
      <c r="C38" s="223" t="s">
        <v>1337</v>
      </c>
      <c r="D38" s="412" t="s">
        <v>1333</v>
      </c>
    </row>
    <row r="39" spans="1:4" ht="26.25" x14ac:dyDescent="0.25">
      <c r="A39" s="61">
        <v>3</v>
      </c>
      <c r="B39" s="86" t="s">
        <v>189</v>
      </c>
      <c r="C39" s="223" t="s">
        <v>1337</v>
      </c>
      <c r="D39" s="425" t="s">
        <v>1335</v>
      </c>
    </row>
    <row r="40" spans="1:4" ht="18.75" x14ac:dyDescent="0.3">
      <c r="A40" s="61"/>
      <c r="B40" s="85" t="s">
        <v>465</v>
      </c>
      <c r="C40" s="223"/>
      <c r="D40" s="421"/>
    </row>
    <row r="41" spans="1:4" x14ac:dyDescent="0.25">
      <c r="A41" s="61">
        <v>1</v>
      </c>
      <c r="B41" s="86" t="s">
        <v>466</v>
      </c>
      <c r="C41" s="223" t="s">
        <v>1337</v>
      </c>
      <c r="D41" s="421"/>
    </row>
    <row r="42" spans="1:4" x14ac:dyDescent="0.25">
      <c r="A42" s="87"/>
      <c r="B42" s="406" t="s">
        <v>31</v>
      </c>
      <c r="C42" s="271"/>
      <c r="D42" s="421"/>
    </row>
    <row r="43" spans="1:4" ht="39" x14ac:dyDescent="0.25">
      <c r="A43" s="56">
        <v>1</v>
      </c>
      <c r="B43" s="346" t="s">
        <v>467</v>
      </c>
      <c r="C43" s="113" t="s">
        <v>1337</v>
      </c>
      <c r="D43" s="426" t="s">
        <v>1292</v>
      </c>
    </row>
    <row r="44" spans="1:4" x14ac:dyDescent="0.25">
      <c r="A44" s="61">
        <v>2</v>
      </c>
      <c r="B44" s="325" t="s">
        <v>468</v>
      </c>
      <c r="C44" s="260" t="s">
        <v>1337</v>
      </c>
      <c r="D44" s="421"/>
    </row>
    <row r="45" spans="1:4" x14ac:dyDescent="0.25">
      <c r="A45" s="61">
        <v>3</v>
      </c>
      <c r="B45" s="325" t="s">
        <v>469</v>
      </c>
      <c r="C45" s="260" t="s">
        <v>1337</v>
      </c>
      <c r="D45" s="421"/>
    </row>
    <row r="46" spans="1:4" x14ac:dyDescent="0.25">
      <c r="A46" s="61">
        <v>3</v>
      </c>
      <c r="B46" s="88" t="s">
        <v>32</v>
      </c>
      <c r="C46" s="444" t="s">
        <v>1338</v>
      </c>
      <c r="D46" s="421"/>
    </row>
    <row r="47" spans="1:4" x14ac:dyDescent="0.25">
      <c r="A47" s="61"/>
      <c r="B47" s="90" t="s">
        <v>33</v>
      </c>
      <c r="C47" s="410"/>
      <c r="D47" s="421"/>
    </row>
    <row r="48" spans="1:4" x14ac:dyDescent="0.25">
      <c r="A48" s="61">
        <v>1</v>
      </c>
      <c r="B48" s="88" t="s">
        <v>467</v>
      </c>
      <c r="C48" s="223" t="s">
        <v>772</v>
      </c>
      <c r="D48" s="421"/>
    </row>
    <row r="49" spans="1:4" ht="39" x14ac:dyDescent="0.25">
      <c r="A49" s="61">
        <v>2</v>
      </c>
      <c r="B49" s="76" t="s">
        <v>34</v>
      </c>
      <c r="C49" s="223" t="s">
        <v>1337</v>
      </c>
      <c r="D49" s="405" t="s">
        <v>1331</v>
      </c>
    </row>
    <row r="50" spans="1:4" x14ac:dyDescent="0.25">
      <c r="A50" s="61">
        <v>3</v>
      </c>
      <c r="B50" s="324" t="s">
        <v>23</v>
      </c>
      <c r="C50" s="223" t="s">
        <v>773</v>
      </c>
      <c r="D50" s="421"/>
    </row>
    <row r="51" spans="1:4" ht="39" x14ac:dyDescent="0.25">
      <c r="A51" s="61">
        <v>4</v>
      </c>
      <c r="B51" s="76" t="s">
        <v>24</v>
      </c>
      <c r="C51" s="223" t="s">
        <v>1337</v>
      </c>
      <c r="D51" s="413" t="s">
        <v>1332</v>
      </c>
    </row>
    <row r="52" spans="1:4" x14ac:dyDescent="0.25">
      <c r="A52" s="61">
        <v>5</v>
      </c>
      <c r="B52" s="76" t="s">
        <v>35</v>
      </c>
      <c r="C52" s="223" t="s">
        <v>774</v>
      </c>
      <c r="D52" s="421"/>
    </row>
    <row r="53" spans="1:4" x14ac:dyDescent="0.25">
      <c r="A53" s="61"/>
      <c r="B53" s="90" t="s">
        <v>470</v>
      </c>
      <c r="C53" s="271"/>
      <c r="D53" s="421"/>
    </row>
    <row r="54" spans="1:4" ht="39" x14ac:dyDescent="0.25">
      <c r="A54" s="61">
        <v>1</v>
      </c>
      <c r="B54" s="88" t="s">
        <v>467</v>
      </c>
      <c r="C54" s="223" t="s">
        <v>1337</v>
      </c>
      <c r="D54" s="405" t="s">
        <v>1339</v>
      </c>
    </row>
    <row r="55" spans="1:4" x14ac:dyDescent="0.25">
      <c r="A55" s="61">
        <v>2</v>
      </c>
      <c r="B55" s="88" t="s">
        <v>471</v>
      </c>
      <c r="C55" s="223" t="s">
        <v>1337</v>
      </c>
      <c r="D55" s="421"/>
    </row>
    <row r="56" spans="1:4" ht="39" x14ac:dyDescent="0.25">
      <c r="A56" s="61">
        <v>3</v>
      </c>
      <c r="B56" s="76" t="s">
        <v>23</v>
      </c>
      <c r="C56" s="445" t="s">
        <v>1337</v>
      </c>
      <c r="D56" s="405" t="s">
        <v>1331</v>
      </c>
    </row>
    <row r="57" spans="1:4" ht="39" x14ac:dyDescent="0.25">
      <c r="A57" s="61">
        <v>4</v>
      </c>
      <c r="B57" s="76" t="s">
        <v>24</v>
      </c>
      <c r="C57" s="223" t="s">
        <v>1337</v>
      </c>
      <c r="D57" s="413" t="s">
        <v>1332</v>
      </c>
    </row>
    <row r="58" spans="1:4" ht="26.25" x14ac:dyDescent="0.25">
      <c r="A58" s="61">
        <v>5</v>
      </c>
      <c r="B58" s="76" t="s">
        <v>26</v>
      </c>
      <c r="C58" s="223" t="s">
        <v>1337</v>
      </c>
      <c r="D58" s="405" t="s">
        <v>1340</v>
      </c>
    </row>
    <row r="59" spans="1:4" ht="18.75" x14ac:dyDescent="0.3">
      <c r="A59" s="408"/>
      <c r="B59" s="101" t="s">
        <v>38</v>
      </c>
      <c r="C59" s="410"/>
      <c r="D59" s="421"/>
    </row>
    <row r="60" spans="1:4" x14ac:dyDescent="0.25">
      <c r="A60" s="408"/>
      <c r="B60" s="62" t="s">
        <v>39</v>
      </c>
      <c r="C60" s="410"/>
      <c r="D60" s="421"/>
    </row>
    <row r="61" spans="1:4" ht="39" x14ac:dyDescent="0.25">
      <c r="A61" s="61">
        <v>1</v>
      </c>
      <c r="B61" s="86" t="s">
        <v>40</v>
      </c>
      <c r="C61" s="223" t="s">
        <v>1337</v>
      </c>
      <c r="D61" s="412" t="s">
        <v>1346</v>
      </c>
    </row>
    <row r="62" spans="1:4" ht="26.25" x14ac:dyDescent="0.25">
      <c r="A62" s="61">
        <v>2</v>
      </c>
      <c r="B62" s="103" t="s">
        <v>41</v>
      </c>
      <c r="C62" s="223" t="s">
        <v>1337</v>
      </c>
      <c r="D62" s="413" t="s">
        <v>1343</v>
      </c>
    </row>
    <row r="63" spans="1:4" ht="39" x14ac:dyDescent="0.25">
      <c r="A63" s="61">
        <v>3</v>
      </c>
      <c r="B63" s="103" t="s">
        <v>42</v>
      </c>
      <c r="C63" s="445" t="s">
        <v>1337</v>
      </c>
      <c r="D63" s="413" t="s">
        <v>1341</v>
      </c>
    </row>
    <row r="64" spans="1:4" ht="26.25" x14ac:dyDescent="0.25">
      <c r="A64" s="61">
        <v>4</v>
      </c>
      <c r="B64" s="76" t="s">
        <v>43</v>
      </c>
      <c r="C64" s="260" t="s">
        <v>1337</v>
      </c>
      <c r="D64" s="413" t="s">
        <v>1344</v>
      </c>
    </row>
    <row r="65" spans="1:4" ht="26.25" x14ac:dyDescent="0.25">
      <c r="A65" s="61">
        <v>5</v>
      </c>
      <c r="B65" s="76" t="s">
        <v>44</v>
      </c>
      <c r="C65" s="445" t="s">
        <v>1337</v>
      </c>
      <c r="D65" s="414" t="s">
        <v>1342</v>
      </c>
    </row>
    <row r="66" spans="1:4" ht="26.25" x14ac:dyDescent="0.25">
      <c r="A66" s="61">
        <v>6</v>
      </c>
      <c r="B66" s="332" t="s">
        <v>45</v>
      </c>
      <c r="C66" s="444" t="s">
        <v>1191</v>
      </c>
      <c r="D66" s="414" t="s">
        <v>1192</v>
      </c>
    </row>
    <row r="67" spans="1:4" ht="15.75" x14ac:dyDescent="0.25">
      <c r="A67" s="61"/>
      <c r="B67" s="79" t="s">
        <v>46</v>
      </c>
      <c r="C67" s="25"/>
      <c r="D67" s="421"/>
    </row>
    <row r="68" spans="1:4" ht="39" x14ac:dyDescent="0.25">
      <c r="A68" s="61">
        <v>1</v>
      </c>
      <c r="B68" s="86" t="s">
        <v>23</v>
      </c>
      <c r="C68" s="223" t="s">
        <v>1337</v>
      </c>
      <c r="D68" s="405" t="s">
        <v>1331</v>
      </c>
    </row>
    <row r="69" spans="1:4" ht="26.25" x14ac:dyDescent="0.25">
      <c r="A69" s="61">
        <v>2</v>
      </c>
      <c r="B69" s="76" t="s">
        <v>35</v>
      </c>
      <c r="C69" s="260" t="s">
        <v>1337</v>
      </c>
      <c r="D69" s="413" t="s">
        <v>1345</v>
      </c>
    </row>
    <row r="70" spans="1:4" x14ac:dyDescent="0.25">
      <c r="A70" s="107" t="s">
        <v>576</v>
      </c>
      <c r="B70" s="108"/>
      <c r="C70" s="407"/>
      <c r="D70" s="421"/>
    </row>
    <row r="71" spans="1:4" ht="39" x14ac:dyDescent="0.25">
      <c r="A71" s="111">
        <v>1</v>
      </c>
      <c r="B71" s="112" t="s">
        <v>47</v>
      </c>
      <c r="C71" s="111" t="s">
        <v>1337</v>
      </c>
      <c r="D71" s="412" t="s">
        <v>1346</v>
      </c>
    </row>
    <row r="72" spans="1:4" ht="26.25" x14ac:dyDescent="0.25">
      <c r="A72" s="111">
        <v>2</v>
      </c>
      <c r="B72" s="115" t="s">
        <v>32</v>
      </c>
      <c r="C72" s="113" t="s">
        <v>1337</v>
      </c>
      <c r="D72" s="412" t="s">
        <v>1379</v>
      </c>
    </row>
    <row r="73" spans="1:4" x14ac:dyDescent="0.25">
      <c r="A73" s="111">
        <v>3</v>
      </c>
      <c r="B73" s="115" t="s">
        <v>1380</v>
      </c>
      <c r="C73" s="113" t="s">
        <v>1337</v>
      </c>
      <c r="D73" s="421"/>
    </row>
    <row r="74" spans="1:4" x14ac:dyDescent="0.25">
      <c r="A74" s="56"/>
      <c r="B74" s="120" t="s">
        <v>136</v>
      </c>
      <c r="C74" s="260"/>
      <c r="D74" s="421"/>
    </row>
    <row r="75" spans="1:4" ht="39" x14ac:dyDescent="0.25">
      <c r="A75" s="61">
        <v>1</v>
      </c>
      <c r="B75" s="76" t="s">
        <v>50</v>
      </c>
      <c r="C75" s="260" t="s">
        <v>1337</v>
      </c>
      <c r="D75" s="412" t="s">
        <v>1346</v>
      </c>
    </row>
    <row r="76" spans="1:4" ht="39" x14ac:dyDescent="0.25">
      <c r="A76" s="56">
        <v>2</v>
      </c>
      <c r="B76" s="76" t="s">
        <v>53</v>
      </c>
      <c r="C76" s="260" t="s">
        <v>1337</v>
      </c>
      <c r="D76" s="412" t="s">
        <v>1347</v>
      </c>
    </row>
    <row r="77" spans="1:4" x14ac:dyDescent="0.25">
      <c r="A77" s="56">
        <v>3</v>
      </c>
      <c r="B77" s="76" t="s">
        <v>64</v>
      </c>
      <c r="C77" s="223" t="s">
        <v>1036</v>
      </c>
      <c r="D77" s="421"/>
    </row>
    <row r="78" spans="1:4" x14ac:dyDescent="0.25">
      <c r="A78" s="56"/>
      <c r="B78" s="120" t="s">
        <v>77</v>
      </c>
      <c r="C78" s="260"/>
      <c r="D78" s="421"/>
    </row>
    <row r="79" spans="1:4" ht="39" x14ac:dyDescent="0.25">
      <c r="A79" s="61">
        <v>1</v>
      </c>
      <c r="B79" s="88" t="s">
        <v>78</v>
      </c>
      <c r="C79" s="223" t="s">
        <v>1337</v>
      </c>
      <c r="D79" s="412" t="s">
        <v>1348</v>
      </c>
    </row>
    <row r="80" spans="1:4" ht="26.25" x14ac:dyDescent="0.25">
      <c r="A80" s="61">
        <v>2</v>
      </c>
      <c r="B80" s="76" t="s">
        <v>79</v>
      </c>
      <c r="C80" s="223" t="s">
        <v>1337</v>
      </c>
      <c r="D80" s="412" t="s">
        <v>1349</v>
      </c>
    </row>
    <row r="81" spans="1:4" x14ac:dyDescent="0.25">
      <c r="A81" s="56"/>
      <c r="B81" s="406" t="s">
        <v>55</v>
      </c>
      <c r="C81" s="271"/>
      <c r="D81" s="427"/>
    </row>
    <row r="82" spans="1:4" ht="26.25" x14ac:dyDescent="0.25">
      <c r="A82" s="61">
        <v>1</v>
      </c>
      <c r="B82" s="76" t="s">
        <v>56</v>
      </c>
      <c r="C82" s="260" t="s">
        <v>1337</v>
      </c>
      <c r="D82" s="412" t="s">
        <v>1350</v>
      </c>
    </row>
    <row r="83" spans="1:4" ht="26.25" x14ac:dyDescent="0.25">
      <c r="A83" s="61">
        <v>2</v>
      </c>
      <c r="B83" s="76" t="s">
        <v>64</v>
      </c>
      <c r="C83" s="260" t="s">
        <v>1337</v>
      </c>
      <c r="D83" s="412" t="s">
        <v>1381</v>
      </c>
    </row>
    <row r="84" spans="1:4" x14ac:dyDescent="0.25">
      <c r="A84" s="61"/>
      <c r="B84" s="406" t="s">
        <v>58</v>
      </c>
      <c r="C84" s="260"/>
      <c r="D84" s="421"/>
    </row>
    <row r="85" spans="1:4" ht="26.25" x14ac:dyDescent="0.25">
      <c r="A85" s="61">
        <v>1</v>
      </c>
      <c r="B85" s="76" t="s">
        <v>59</v>
      </c>
      <c r="C85" s="260" t="s">
        <v>1337</v>
      </c>
      <c r="D85" s="412" t="s">
        <v>1351</v>
      </c>
    </row>
    <row r="86" spans="1:4" x14ac:dyDescent="0.25">
      <c r="A86" s="56">
        <v>2</v>
      </c>
      <c r="B86" s="76" t="s">
        <v>64</v>
      </c>
      <c r="C86" s="260" t="s">
        <v>1337</v>
      </c>
      <c r="D86" s="421"/>
    </row>
    <row r="87" spans="1:4" x14ac:dyDescent="0.25">
      <c r="A87" s="124"/>
      <c r="B87" s="406" t="s">
        <v>60</v>
      </c>
      <c r="C87" s="260"/>
      <c r="D87" s="421"/>
    </row>
    <row r="88" spans="1:4" ht="26.25" x14ac:dyDescent="0.25">
      <c r="A88" s="61" t="s">
        <v>61</v>
      </c>
      <c r="B88" s="76" t="s">
        <v>62</v>
      </c>
      <c r="C88" s="260" t="s">
        <v>1337</v>
      </c>
      <c r="D88" s="412" t="s">
        <v>1352</v>
      </c>
    </row>
    <row r="89" spans="1:4" x14ac:dyDescent="0.25">
      <c r="A89" s="61" t="s">
        <v>63</v>
      </c>
      <c r="B89" s="76" t="s">
        <v>64</v>
      </c>
      <c r="C89" s="260" t="s">
        <v>1337</v>
      </c>
      <c r="D89" s="421"/>
    </row>
    <row r="90" spans="1:4" x14ac:dyDescent="0.25">
      <c r="A90" s="61"/>
      <c r="B90" s="406" t="s">
        <v>65</v>
      </c>
      <c r="C90" s="271"/>
      <c r="D90" s="421"/>
    </row>
    <row r="91" spans="1:4" x14ac:dyDescent="0.25">
      <c r="A91" s="61">
        <v>1</v>
      </c>
      <c r="B91" s="76" t="s">
        <v>66</v>
      </c>
      <c r="C91" s="260" t="s">
        <v>1337</v>
      </c>
      <c r="D91" s="421"/>
    </row>
    <row r="92" spans="1:4" x14ac:dyDescent="0.25">
      <c r="A92" s="61"/>
      <c r="B92" s="406" t="s">
        <v>67</v>
      </c>
      <c r="C92" s="271"/>
      <c r="D92" s="421"/>
    </row>
    <row r="93" spans="1:4" ht="26.25" x14ac:dyDescent="0.25">
      <c r="A93" s="61">
        <v>1</v>
      </c>
      <c r="B93" s="76" t="s">
        <v>68</v>
      </c>
      <c r="C93" s="223" t="s">
        <v>1337</v>
      </c>
      <c r="D93" s="412" t="s">
        <v>1353</v>
      </c>
    </row>
    <row r="94" spans="1:4" ht="26.25" x14ac:dyDescent="0.25">
      <c r="A94" s="61">
        <v>2</v>
      </c>
      <c r="B94" s="76" t="s">
        <v>64</v>
      </c>
      <c r="C94" s="223" t="s">
        <v>1337</v>
      </c>
      <c r="D94" s="412" t="s">
        <v>1354</v>
      </c>
    </row>
    <row r="95" spans="1:4" x14ac:dyDescent="0.25">
      <c r="A95" s="61"/>
      <c r="B95" s="76" t="s">
        <v>64</v>
      </c>
      <c r="C95" s="271"/>
      <c r="D95" s="421"/>
    </row>
    <row r="96" spans="1:4" x14ac:dyDescent="0.25">
      <c r="A96" s="61">
        <v>1</v>
      </c>
      <c r="B96" s="76" t="s">
        <v>70</v>
      </c>
      <c r="C96" s="223" t="s">
        <v>1337</v>
      </c>
      <c r="D96" s="421"/>
    </row>
    <row r="97" spans="1:4" x14ac:dyDescent="0.25">
      <c r="A97" s="61">
        <v>2</v>
      </c>
      <c r="B97" s="76" t="s">
        <v>64</v>
      </c>
      <c r="C97" s="223" t="s">
        <v>1337</v>
      </c>
      <c r="D97" s="421"/>
    </row>
    <row r="98" spans="1:4" x14ac:dyDescent="0.25">
      <c r="A98" s="124"/>
      <c r="B98" s="406" t="s">
        <v>80</v>
      </c>
      <c r="C98" s="58"/>
      <c r="D98" s="421"/>
    </row>
    <row r="99" spans="1:4" ht="26.25" x14ac:dyDescent="0.25">
      <c r="A99" s="124">
        <v>1</v>
      </c>
      <c r="B99" s="76" t="s">
        <v>81</v>
      </c>
      <c r="C99" s="260" t="s">
        <v>1337</v>
      </c>
      <c r="D99" s="412" t="s">
        <v>1359</v>
      </c>
    </row>
    <row r="100" spans="1:4" ht="26.25" x14ac:dyDescent="0.25">
      <c r="A100" s="124">
        <v>2</v>
      </c>
      <c r="B100" s="125" t="s">
        <v>64</v>
      </c>
      <c r="C100" s="260" t="s">
        <v>1337</v>
      </c>
      <c r="D100" s="412" t="s">
        <v>1360</v>
      </c>
    </row>
    <row r="101" spans="1:4" x14ac:dyDescent="0.25">
      <c r="A101" s="61"/>
      <c r="B101" s="406" t="s">
        <v>82</v>
      </c>
      <c r="C101" s="260"/>
      <c r="D101" s="421"/>
    </row>
    <row r="102" spans="1:4" ht="26.25" x14ac:dyDescent="0.25">
      <c r="A102" s="61" t="s">
        <v>61</v>
      </c>
      <c r="B102" s="76" t="s">
        <v>83</v>
      </c>
      <c r="C102" s="260" t="s">
        <v>1337</v>
      </c>
      <c r="D102" s="412" t="s">
        <v>1355</v>
      </c>
    </row>
    <row r="103" spans="1:4" x14ac:dyDescent="0.25">
      <c r="A103" s="61">
        <v>2</v>
      </c>
      <c r="B103" s="324" t="s">
        <v>51</v>
      </c>
      <c r="C103" s="260" t="s">
        <v>1337</v>
      </c>
      <c r="D103" s="421"/>
    </row>
    <row r="104" spans="1:4" ht="26.25" x14ac:dyDescent="0.25">
      <c r="A104" s="61">
        <v>3</v>
      </c>
      <c r="B104" s="76" t="s">
        <v>577</v>
      </c>
      <c r="C104" s="260" t="s">
        <v>1337</v>
      </c>
      <c r="D104" s="412" t="s">
        <v>1356</v>
      </c>
    </row>
    <row r="105" spans="1:4" x14ac:dyDescent="0.25">
      <c r="A105" s="61"/>
      <c r="B105" s="406" t="s">
        <v>84</v>
      </c>
      <c r="C105" s="260"/>
      <c r="D105" s="421"/>
    </row>
    <row r="106" spans="1:4" ht="26.25" x14ac:dyDescent="0.25">
      <c r="A106" s="61" t="s">
        <v>61</v>
      </c>
      <c r="B106" s="76" t="s">
        <v>85</v>
      </c>
      <c r="C106" s="260" t="s">
        <v>1337</v>
      </c>
      <c r="D106" s="412" t="s">
        <v>1357</v>
      </c>
    </row>
    <row r="107" spans="1:4" ht="26.25" x14ac:dyDescent="0.25">
      <c r="A107" s="61">
        <v>2</v>
      </c>
      <c r="B107" s="76" t="s">
        <v>64</v>
      </c>
      <c r="C107" s="260" t="s">
        <v>1337</v>
      </c>
      <c r="D107" s="412" t="s">
        <v>1358</v>
      </c>
    </row>
    <row r="108" spans="1:4" ht="26.25" x14ac:dyDescent="0.25">
      <c r="A108" s="61">
        <v>3</v>
      </c>
      <c r="B108" s="76" t="s">
        <v>86</v>
      </c>
      <c r="C108" s="260" t="s">
        <v>1337</v>
      </c>
      <c r="D108" s="412" t="s">
        <v>1358</v>
      </c>
    </row>
    <row r="109" spans="1:4" x14ac:dyDescent="0.25">
      <c r="A109" s="123"/>
      <c r="B109" s="406" t="s">
        <v>87</v>
      </c>
      <c r="C109" s="260"/>
      <c r="D109" s="421"/>
    </row>
    <row r="110" spans="1:4" ht="39" x14ac:dyDescent="0.25">
      <c r="A110" s="56">
        <v>1</v>
      </c>
      <c r="B110" s="76" t="s">
        <v>88</v>
      </c>
      <c r="C110" s="260" t="s">
        <v>1337</v>
      </c>
      <c r="D110" s="412" t="s">
        <v>1361</v>
      </c>
    </row>
    <row r="111" spans="1:4" ht="39" x14ac:dyDescent="0.25">
      <c r="A111" s="61">
        <v>2</v>
      </c>
      <c r="B111" s="76" t="s">
        <v>64</v>
      </c>
      <c r="C111" s="260" t="s">
        <v>1337</v>
      </c>
      <c r="D111" s="412" t="s">
        <v>1362</v>
      </c>
    </row>
    <row r="112" spans="1:4" x14ac:dyDescent="0.25">
      <c r="A112" s="61"/>
      <c r="B112" s="406" t="s">
        <v>89</v>
      </c>
      <c r="C112" s="260"/>
      <c r="D112" s="421"/>
    </row>
    <row r="113" spans="1:4" ht="26.25" x14ac:dyDescent="0.25">
      <c r="A113" s="61">
        <v>1</v>
      </c>
      <c r="B113" s="76" t="s">
        <v>90</v>
      </c>
      <c r="C113" s="260" t="s">
        <v>1337</v>
      </c>
      <c r="D113" s="412" t="s">
        <v>1363</v>
      </c>
    </row>
    <row r="114" spans="1:4" ht="26.25" x14ac:dyDescent="0.25">
      <c r="A114" s="61">
        <v>2</v>
      </c>
      <c r="B114" s="76" t="s">
        <v>64</v>
      </c>
      <c r="C114" s="260" t="s">
        <v>1337</v>
      </c>
      <c r="D114" s="412" t="s">
        <v>1364</v>
      </c>
    </row>
    <row r="115" spans="1:4" x14ac:dyDescent="0.25">
      <c r="A115" s="61"/>
      <c r="B115" s="406" t="s">
        <v>91</v>
      </c>
      <c r="C115" s="260"/>
      <c r="D115" s="421"/>
    </row>
    <row r="116" spans="1:4" ht="39" x14ac:dyDescent="0.25">
      <c r="A116" s="61">
        <v>1</v>
      </c>
      <c r="B116" s="76" t="s">
        <v>92</v>
      </c>
      <c r="C116" s="260" t="s">
        <v>1337</v>
      </c>
      <c r="D116" s="412" t="s">
        <v>1365</v>
      </c>
    </row>
    <row r="117" spans="1:4" ht="39" x14ac:dyDescent="0.25">
      <c r="A117" s="56">
        <v>2</v>
      </c>
      <c r="B117" s="76" t="s">
        <v>64</v>
      </c>
      <c r="C117" s="260" t="s">
        <v>1337</v>
      </c>
      <c r="D117" s="412" t="s">
        <v>1366</v>
      </c>
    </row>
    <row r="118" spans="1:4" x14ac:dyDescent="0.25">
      <c r="A118" s="61"/>
      <c r="B118" s="406" t="s">
        <v>72</v>
      </c>
      <c r="C118" s="271"/>
      <c r="D118" s="421"/>
    </row>
    <row r="119" spans="1:4" ht="39" x14ac:dyDescent="0.25">
      <c r="A119" s="61">
        <v>1</v>
      </c>
      <c r="B119" s="76" t="s">
        <v>73</v>
      </c>
      <c r="C119" s="223" t="s">
        <v>1337</v>
      </c>
      <c r="D119" s="412" t="s">
        <v>1368</v>
      </c>
    </row>
    <row r="120" spans="1:4" ht="39" x14ac:dyDescent="0.25">
      <c r="A120" s="61">
        <v>2</v>
      </c>
      <c r="B120" s="86" t="s">
        <v>74</v>
      </c>
      <c r="C120" s="223" t="s">
        <v>1337</v>
      </c>
      <c r="D120" s="412" t="s">
        <v>1368</v>
      </c>
    </row>
    <row r="121" spans="1:4" ht="26.25" x14ac:dyDescent="0.25">
      <c r="A121" s="61">
        <v>3</v>
      </c>
      <c r="B121" s="324" t="s">
        <v>52</v>
      </c>
      <c r="C121" s="260" t="s">
        <v>1337</v>
      </c>
      <c r="D121" s="412" t="s">
        <v>1372</v>
      </c>
    </row>
    <row r="122" spans="1:4" ht="26.25" x14ac:dyDescent="0.25">
      <c r="A122" s="61">
        <v>4</v>
      </c>
      <c r="B122" s="86" t="s">
        <v>75</v>
      </c>
      <c r="C122" s="223" t="s">
        <v>1337</v>
      </c>
      <c r="D122" s="412" t="s">
        <v>1369</v>
      </c>
    </row>
    <row r="123" spans="1:4" ht="39" x14ac:dyDescent="0.25">
      <c r="A123" s="61">
        <v>5</v>
      </c>
      <c r="B123" s="86" t="s">
        <v>76</v>
      </c>
      <c r="C123" s="223" t="s">
        <v>1337</v>
      </c>
      <c r="D123" s="412" t="s">
        <v>1370</v>
      </c>
    </row>
    <row r="124" spans="1:4" ht="39" x14ac:dyDescent="0.25">
      <c r="A124" s="61">
        <v>6</v>
      </c>
      <c r="B124" s="88" t="s">
        <v>78</v>
      </c>
      <c r="C124" s="223" t="s">
        <v>1337</v>
      </c>
      <c r="D124" s="412" t="s">
        <v>1348</v>
      </c>
    </row>
    <row r="125" spans="1:4" x14ac:dyDescent="0.25">
      <c r="A125" s="61">
        <v>7</v>
      </c>
      <c r="B125" s="76" t="s">
        <v>81</v>
      </c>
      <c r="C125" s="223" t="s">
        <v>1035</v>
      </c>
      <c r="D125" s="421"/>
    </row>
    <row r="126" spans="1:4" ht="26.25" x14ac:dyDescent="0.25">
      <c r="A126" s="61">
        <v>8</v>
      </c>
      <c r="B126" s="76" t="s">
        <v>83</v>
      </c>
      <c r="C126" s="260" t="s">
        <v>1337</v>
      </c>
      <c r="D126" s="412" t="s">
        <v>1371</v>
      </c>
    </row>
    <row r="127" spans="1:4" ht="39" x14ac:dyDescent="0.25">
      <c r="A127" s="61">
        <v>9</v>
      </c>
      <c r="B127" s="76" t="s">
        <v>85</v>
      </c>
      <c r="C127" s="260" t="s">
        <v>1337</v>
      </c>
      <c r="D127" s="412" t="s">
        <v>1373</v>
      </c>
    </row>
    <row r="128" spans="1:4" x14ac:dyDescent="0.25">
      <c r="A128" s="61">
        <v>10</v>
      </c>
      <c r="B128" s="76" t="s">
        <v>90</v>
      </c>
      <c r="C128" s="260" t="s">
        <v>1337</v>
      </c>
      <c r="D128" s="421"/>
    </row>
    <row r="129" spans="1:4" ht="39" x14ac:dyDescent="0.25">
      <c r="A129" s="61">
        <v>11</v>
      </c>
      <c r="B129" s="76" t="s">
        <v>92</v>
      </c>
      <c r="C129" s="260" t="s">
        <v>1337</v>
      </c>
      <c r="D129" s="412" t="s">
        <v>1374</v>
      </c>
    </row>
    <row r="130" spans="1:4" x14ac:dyDescent="0.25">
      <c r="A130" s="61">
        <v>12</v>
      </c>
      <c r="B130" s="76" t="s">
        <v>88</v>
      </c>
      <c r="C130" s="260" t="s">
        <v>1337</v>
      </c>
      <c r="D130" s="421"/>
    </row>
    <row r="131" spans="1:4" ht="39" x14ac:dyDescent="0.25">
      <c r="A131" s="61">
        <v>13</v>
      </c>
      <c r="B131" s="76" t="s">
        <v>53</v>
      </c>
      <c r="C131" s="223" t="s">
        <v>1337</v>
      </c>
      <c r="D131" s="412" t="s">
        <v>1375</v>
      </c>
    </row>
    <row r="132" spans="1:4" ht="39" x14ac:dyDescent="0.25">
      <c r="A132" s="61">
        <v>14</v>
      </c>
      <c r="B132" s="76" t="s">
        <v>64</v>
      </c>
      <c r="C132" s="223" t="s">
        <v>1337</v>
      </c>
      <c r="D132" s="412" t="s">
        <v>1376</v>
      </c>
    </row>
    <row r="133" spans="1:4" ht="26.25" x14ac:dyDescent="0.25">
      <c r="A133" s="61">
        <v>15</v>
      </c>
      <c r="B133" s="76" t="s">
        <v>79</v>
      </c>
      <c r="C133" s="223" t="s">
        <v>1337</v>
      </c>
      <c r="D133" s="412" t="s">
        <v>1349</v>
      </c>
    </row>
    <row r="134" spans="1:4" ht="26.25" x14ac:dyDescent="0.25">
      <c r="A134" s="61">
        <v>16</v>
      </c>
      <c r="B134" s="76" t="s">
        <v>86</v>
      </c>
      <c r="C134" s="223" t="s">
        <v>1337</v>
      </c>
      <c r="D134" s="412" t="s">
        <v>1377</v>
      </c>
    </row>
    <row r="135" spans="1:4" x14ac:dyDescent="0.25">
      <c r="A135" s="61"/>
      <c r="B135" s="90" t="s">
        <v>472</v>
      </c>
      <c r="C135" s="271"/>
      <c r="D135" s="421"/>
    </row>
    <row r="136" spans="1:4" ht="39" x14ac:dyDescent="0.25">
      <c r="A136" s="61">
        <v>1</v>
      </c>
      <c r="B136" s="76" t="s">
        <v>473</v>
      </c>
      <c r="C136" s="223" t="s">
        <v>1337</v>
      </c>
      <c r="D136" s="412" t="s">
        <v>1346</v>
      </c>
    </row>
    <row r="137" spans="1:4" ht="26.25" x14ac:dyDescent="0.25">
      <c r="A137" s="61">
        <v>2</v>
      </c>
      <c r="B137" s="76" t="s">
        <v>32</v>
      </c>
      <c r="C137" s="223" t="s">
        <v>1337</v>
      </c>
      <c r="D137" s="412" t="s">
        <v>1379</v>
      </c>
    </row>
    <row r="138" spans="1:4" ht="39" x14ac:dyDescent="0.25">
      <c r="A138" s="61">
        <v>3</v>
      </c>
      <c r="B138" s="76" t="s">
        <v>474</v>
      </c>
      <c r="C138" s="223" t="s">
        <v>1337</v>
      </c>
      <c r="D138" s="470" t="s">
        <v>1378</v>
      </c>
    </row>
    <row r="139" spans="1:4" x14ac:dyDescent="0.25">
      <c r="A139" s="61">
        <v>4</v>
      </c>
      <c r="B139" s="76" t="s">
        <v>64</v>
      </c>
      <c r="C139" s="223" t="s">
        <v>1337</v>
      </c>
      <c r="D139" s="421"/>
    </row>
    <row r="140" spans="1:4" x14ac:dyDescent="0.25">
      <c r="A140" s="61"/>
      <c r="B140" s="406" t="s">
        <v>93</v>
      </c>
      <c r="C140" s="271"/>
      <c r="D140" s="421"/>
    </row>
    <row r="141" spans="1:4" ht="39" x14ac:dyDescent="0.25">
      <c r="A141" s="61" t="s">
        <v>61</v>
      </c>
      <c r="B141" s="76" t="s">
        <v>94</v>
      </c>
      <c r="C141" s="260" t="s">
        <v>1337</v>
      </c>
      <c r="D141" s="412" t="s">
        <v>1382</v>
      </c>
    </row>
    <row r="142" spans="1:4" x14ac:dyDescent="0.25">
      <c r="A142" s="61"/>
      <c r="B142" s="406" t="s">
        <v>95</v>
      </c>
      <c r="C142" s="260"/>
      <c r="D142" s="421"/>
    </row>
    <row r="143" spans="1:4" x14ac:dyDescent="0.25">
      <c r="A143" s="61">
        <v>1</v>
      </c>
      <c r="B143" s="76" t="s">
        <v>96</v>
      </c>
      <c r="C143" s="260" t="s">
        <v>1337</v>
      </c>
      <c r="D143" s="421"/>
    </row>
    <row r="144" spans="1:4" x14ac:dyDescent="0.25">
      <c r="A144" s="61">
        <v>2</v>
      </c>
      <c r="B144" s="76" t="s">
        <v>475</v>
      </c>
      <c r="C144" s="260" t="s">
        <v>1337</v>
      </c>
      <c r="D144" s="421"/>
    </row>
    <row r="145" spans="1:4" x14ac:dyDescent="0.25">
      <c r="A145" s="61">
        <v>3</v>
      </c>
      <c r="B145" s="76" t="s">
        <v>476</v>
      </c>
      <c r="C145" s="260" t="s">
        <v>1337</v>
      </c>
      <c r="D145" s="421"/>
    </row>
    <row r="146" spans="1:4" x14ac:dyDescent="0.25">
      <c r="A146" s="61">
        <v>4</v>
      </c>
      <c r="B146" s="76" t="s">
        <v>478</v>
      </c>
      <c r="C146" s="223" t="s">
        <v>723</v>
      </c>
      <c r="D146" s="421"/>
    </row>
    <row r="147" spans="1:4" x14ac:dyDescent="0.25">
      <c r="A147" s="61"/>
      <c r="B147" s="406" t="s">
        <v>97</v>
      </c>
      <c r="C147" s="271"/>
      <c r="D147" s="421"/>
    </row>
    <row r="148" spans="1:4" x14ac:dyDescent="0.25">
      <c r="A148" s="61">
        <v>1</v>
      </c>
      <c r="B148" s="86" t="s">
        <v>253</v>
      </c>
      <c r="C148" s="223" t="s">
        <v>1337</v>
      </c>
      <c r="D148" s="421"/>
    </row>
    <row r="149" spans="1:4" x14ac:dyDescent="0.25">
      <c r="A149" s="61">
        <v>2</v>
      </c>
      <c r="B149" s="86" t="s">
        <v>653</v>
      </c>
      <c r="C149" s="223" t="s">
        <v>1337</v>
      </c>
      <c r="D149" s="421"/>
    </row>
    <row r="150" spans="1:4" x14ac:dyDescent="0.25">
      <c r="A150" s="61"/>
      <c r="B150" s="406" t="s">
        <v>98</v>
      </c>
      <c r="C150" s="271"/>
      <c r="D150" s="421"/>
    </row>
    <row r="151" spans="1:4" x14ac:dyDescent="0.25">
      <c r="A151" s="56">
        <v>1</v>
      </c>
      <c r="B151" s="76" t="s">
        <v>99</v>
      </c>
      <c r="C151" s="223" t="s">
        <v>675</v>
      </c>
      <c r="D151" s="421"/>
    </row>
    <row r="152" spans="1:4" x14ac:dyDescent="0.25">
      <c r="A152" s="61">
        <v>2</v>
      </c>
      <c r="B152" s="324" t="s">
        <v>100</v>
      </c>
      <c r="C152" s="260" t="s">
        <v>1337</v>
      </c>
      <c r="D152" s="421"/>
    </row>
    <row r="153" spans="1:4" x14ac:dyDescent="0.25">
      <c r="A153" s="61">
        <v>3</v>
      </c>
      <c r="B153" s="76" t="s">
        <v>299</v>
      </c>
      <c r="C153" s="260" t="s">
        <v>1337</v>
      </c>
      <c r="D153" s="421"/>
    </row>
    <row r="154" spans="1:4" x14ac:dyDescent="0.25">
      <c r="A154" s="61">
        <v>4</v>
      </c>
      <c r="B154" s="76" t="s">
        <v>101</v>
      </c>
      <c r="C154" s="223" t="s">
        <v>676</v>
      </c>
      <c r="D154" s="421"/>
    </row>
    <row r="155" spans="1:4" x14ac:dyDescent="0.25">
      <c r="A155" s="61">
        <v>5</v>
      </c>
      <c r="B155" s="65" t="s">
        <v>102</v>
      </c>
      <c r="C155" s="223" t="s">
        <v>677</v>
      </c>
      <c r="D155" s="421"/>
    </row>
    <row r="156" spans="1:4" x14ac:dyDescent="0.25">
      <c r="A156" s="134">
        <v>6</v>
      </c>
      <c r="B156" s="65" t="s">
        <v>103</v>
      </c>
      <c r="C156" s="223" t="s">
        <v>678</v>
      </c>
      <c r="D156" s="421"/>
    </row>
    <row r="157" spans="1:4" x14ac:dyDescent="0.25">
      <c r="A157" s="134">
        <v>7</v>
      </c>
      <c r="B157" s="76" t="s">
        <v>104</v>
      </c>
      <c r="C157" s="223" t="s">
        <v>679</v>
      </c>
      <c r="D157" s="421"/>
    </row>
    <row r="158" spans="1:4" x14ac:dyDescent="0.25">
      <c r="A158" s="134">
        <v>8</v>
      </c>
      <c r="B158" s="65" t="s">
        <v>105</v>
      </c>
      <c r="C158" s="223" t="s">
        <v>680</v>
      </c>
      <c r="D158" s="421"/>
    </row>
    <row r="159" spans="1:4" x14ac:dyDescent="0.25">
      <c r="A159" s="134">
        <v>9</v>
      </c>
      <c r="B159" s="65" t="s">
        <v>106</v>
      </c>
      <c r="C159" s="223" t="s">
        <v>724</v>
      </c>
      <c r="D159" s="421"/>
    </row>
    <row r="160" spans="1:4" x14ac:dyDescent="0.25">
      <c r="A160" s="134">
        <v>10</v>
      </c>
      <c r="B160" s="65" t="s">
        <v>107</v>
      </c>
      <c r="C160" s="223" t="s">
        <v>725</v>
      </c>
      <c r="D160" s="421"/>
    </row>
    <row r="161" spans="1:6" x14ac:dyDescent="0.25">
      <c r="A161" s="134">
        <v>11</v>
      </c>
      <c r="B161" s="65" t="s">
        <v>108</v>
      </c>
      <c r="C161" s="223" t="s">
        <v>726</v>
      </c>
      <c r="D161" s="421"/>
    </row>
    <row r="162" spans="1:6" ht="15.75" x14ac:dyDescent="0.25">
      <c r="A162" s="61"/>
      <c r="B162" s="321" t="s">
        <v>1367</v>
      </c>
      <c r="C162" s="271"/>
      <c r="D162" s="421"/>
    </row>
    <row r="163" spans="1:6" x14ac:dyDescent="0.25">
      <c r="A163" s="61"/>
      <c r="B163" s="408" t="s">
        <v>648</v>
      </c>
      <c r="C163" s="271"/>
      <c r="D163" s="421"/>
    </row>
    <row r="164" spans="1:6" x14ac:dyDescent="0.25">
      <c r="A164" s="61">
        <v>1</v>
      </c>
      <c r="B164" s="76" t="s">
        <v>649</v>
      </c>
      <c r="C164" s="223"/>
      <c r="D164" s="421"/>
    </row>
    <row r="165" spans="1:6" x14ac:dyDescent="0.25">
      <c r="A165" s="61">
        <v>2</v>
      </c>
      <c r="B165" s="76" t="s">
        <v>32</v>
      </c>
      <c r="C165" s="223"/>
      <c r="D165" s="421"/>
    </row>
    <row r="166" spans="1:6" x14ac:dyDescent="0.25">
      <c r="A166" s="61">
        <v>3</v>
      </c>
      <c r="B166" s="76" t="s">
        <v>81</v>
      </c>
      <c r="C166" s="223"/>
      <c r="D166" s="421"/>
    </row>
    <row r="167" spans="1:6" x14ac:dyDescent="0.25">
      <c r="A167" s="61">
        <v>4</v>
      </c>
      <c r="B167" s="76" t="s">
        <v>56</v>
      </c>
      <c r="C167" s="223"/>
      <c r="D167" s="421"/>
    </row>
    <row r="168" spans="1:6" x14ac:dyDescent="0.25">
      <c r="A168" s="61">
        <v>5</v>
      </c>
      <c r="B168" s="76" t="s">
        <v>655</v>
      </c>
      <c r="C168" s="223"/>
      <c r="D168" s="421"/>
    </row>
    <row r="169" spans="1:6" x14ac:dyDescent="0.25">
      <c r="A169" s="61">
        <v>6</v>
      </c>
      <c r="B169" s="76" t="s">
        <v>536</v>
      </c>
      <c r="C169" s="223"/>
      <c r="D169" s="421"/>
    </row>
    <row r="170" spans="1:6" x14ac:dyDescent="0.25">
      <c r="A170" s="61">
        <v>7</v>
      </c>
      <c r="B170" s="76" t="s">
        <v>70</v>
      </c>
      <c r="C170" s="223"/>
      <c r="D170" s="421"/>
    </row>
    <row r="171" spans="1:6" x14ac:dyDescent="0.25">
      <c r="A171" s="61">
        <v>8</v>
      </c>
      <c r="B171" s="76" t="s">
        <v>83</v>
      </c>
      <c r="C171" s="223"/>
      <c r="D171" s="421"/>
    </row>
    <row r="172" spans="1:6" x14ac:dyDescent="0.25">
      <c r="A172" s="61">
        <v>9</v>
      </c>
      <c r="B172" s="76" t="s">
        <v>85</v>
      </c>
      <c r="C172" s="223"/>
      <c r="D172" s="421"/>
    </row>
    <row r="173" spans="1:6" x14ac:dyDescent="0.25">
      <c r="A173" s="61">
        <v>10</v>
      </c>
      <c r="B173" s="76" t="s">
        <v>90</v>
      </c>
      <c r="C173" s="223"/>
      <c r="D173" s="421"/>
      <c r="F173" t="s">
        <v>668</v>
      </c>
    </row>
    <row r="174" spans="1:6" x14ac:dyDescent="0.25">
      <c r="A174" s="61">
        <v>11</v>
      </c>
      <c r="B174" s="76" t="s">
        <v>92</v>
      </c>
      <c r="C174" s="223"/>
      <c r="D174" s="421"/>
    </row>
    <row r="175" spans="1:6" x14ac:dyDescent="0.25">
      <c r="A175" s="61">
        <v>12</v>
      </c>
      <c r="B175" s="76" t="s">
        <v>66</v>
      </c>
      <c r="C175" s="223"/>
      <c r="D175" s="421"/>
    </row>
    <row r="176" spans="1:6" x14ac:dyDescent="0.25">
      <c r="A176" s="61">
        <v>13</v>
      </c>
      <c r="B176" s="76" t="s">
        <v>59</v>
      </c>
      <c r="C176" s="223"/>
      <c r="D176" s="421"/>
    </row>
    <row r="177" spans="1:4" x14ac:dyDescent="0.25">
      <c r="A177" s="61">
        <v>14</v>
      </c>
      <c r="B177" s="76" t="s">
        <v>345</v>
      </c>
      <c r="C177" s="223"/>
      <c r="D177" s="421"/>
    </row>
    <row r="178" spans="1:4" x14ac:dyDescent="0.25">
      <c r="A178" s="61">
        <v>15</v>
      </c>
      <c r="B178" s="76" t="s">
        <v>53</v>
      </c>
      <c r="C178" s="223"/>
      <c r="D178" s="421"/>
    </row>
    <row r="179" spans="1:4" x14ac:dyDescent="0.25">
      <c r="A179" s="61">
        <v>16</v>
      </c>
      <c r="B179" s="76" t="s">
        <v>64</v>
      </c>
      <c r="C179" s="223"/>
      <c r="D179" s="421"/>
    </row>
    <row r="180" spans="1:4" x14ac:dyDescent="0.25">
      <c r="A180" s="61">
        <v>17</v>
      </c>
      <c r="B180" s="88" t="s">
        <v>669</v>
      </c>
      <c r="C180" s="223"/>
      <c r="D180" s="421"/>
    </row>
    <row r="181" spans="1:4" x14ac:dyDescent="0.25">
      <c r="A181" s="61">
        <v>18</v>
      </c>
      <c r="B181" s="76" t="s">
        <v>94</v>
      </c>
      <c r="C181" s="223"/>
      <c r="D181" s="421"/>
    </row>
    <row r="182" spans="1:4" x14ac:dyDescent="0.25">
      <c r="A182" s="61"/>
      <c r="B182" s="408" t="s">
        <v>650</v>
      </c>
      <c r="C182" s="271"/>
      <c r="D182" s="421"/>
    </row>
    <row r="183" spans="1:4" x14ac:dyDescent="0.25">
      <c r="A183" s="61">
        <v>1</v>
      </c>
      <c r="B183" s="76" t="s">
        <v>651</v>
      </c>
      <c r="C183" s="223"/>
      <c r="D183" s="421"/>
    </row>
    <row r="184" spans="1:4" x14ac:dyDescent="0.25">
      <c r="A184" s="61">
        <v>2</v>
      </c>
      <c r="B184" s="76" t="s">
        <v>478</v>
      </c>
      <c r="C184" s="223"/>
      <c r="D184" s="421"/>
    </row>
    <row r="185" spans="1:4" x14ac:dyDescent="0.25">
      <c r="A185" s="61">
        <v>3</v>
      </c>
      <c r="B185" s="76" t="s">
        <v>100</v>
      </c>
      <c r="C185" s="223"/>
      <c r="D185" s="421"/>
    </row>
    <row r="186" spans="1:4" x14ac:dyDescent="0.25">
      <c r="A186" s="61">
        <v>4</v>
      </c>
      <c r="B186" s="76" t="s">
        <v>106</v>
      </c>
      <c r="C186" s="223"/>
      <c r="D186" s="421"/>
    </row>
    <row r="187" spans="1:4" x14ac:dyDescent="0.25">
      <c r="A187" s="61">
        <v>5</v>
      </c>
      <c r="B187" s="76" t="s">
        <v>108</v>
      </c>
      <c r="C187" s="223"/>
      <c r="D187" s="421"/>
    </row>
    <row r="188" spans="1:4" ht="26.25" x14ac:dyDescent="0.25">
      <c r="A188" s="61">
        <v>6</v>
      </c>
      <c r="B188" s="88" t="s">
        <v>434</v>
      </c>
      <c r="C188" s="223"/>
      <c r="D188" s="421"/>
    </row>
    <row r="189" spans="1:4" ht="18.75" x14ac:dyDescent="0.3">
      <c r="A189" s="61"/>
      <c r="B189" s="140" t="s">
        <v>115</v>
      </c>
      <c r="C189" s="260"/>
      <c r="D189" s="421"/>
    </row>
    <row r="190" spans="1:4" x14ac:dyDescent="0.25">
      <c r="A190" s="61"/>
      <c r="B190" s="62" t="s">
        <v>39</v>
      </c>
      <c r="C190" s="260"/>
      <c r="D190" s="421"/>
    </row>
    <row r="191" spans="1:4" s="327" customFormat="1" ht="12.75" x14ac:dyDescent="0.2">
      <c r="A191" s="326">
        <v>1</v>
      </c>
      <c r="B191" s="88" t="s">
        <v>116</v>
      </c>
      <c r="C191" s="415"/>
      <c r="D191" s="421"/>
    </row>
    <row r="192" spans="1:4" s="327" customFormat="1" ht="12.75" x14ac:dyDescent="0.2">
      <c r="A192" s="326">
        <v>2</v>
      </c>
      <c r="B192" s="76" t="s">
        <v>43</v>
      </c>
      <c r="C192" s="415"/>
      <c r="D192" s="421"/>
    </row>
    <row r="193" spans="1:4" s="327" customFormat="1" ht="12.75" x14ac:dyDescent="0.2">
      <c r="A193" s="326">
        <v>3</v>
      </c>
      <c r="B193" s="325" t="s">
        <v>117</v>
      </c>
      <c r="C193" s="415" t="s">
        <v>1190</v>
      </c>
      <c r="D193" s="421"/>
    </row>
    <row r="194" spans="1:4" s="327" customFormat="1" ht="12.75" x14ac:dyDescent="0.2">
      <c r="A194" s="326">
        <v>4</v>
      </c>
      <c r="B194" s="325" t="s">
        <v>35</v>
      </c>
      <c r="C194" s="415"/>
      <c r="D194" s="421"/>
    </row>
    <row r="195" spans="1:4" x14ac:dyDescent="0.25">
      <c r="A195" s="61"/>
      <c r="B195" s="142" t="s">
        <v>118</v>
      </c>
      <c r="C195" s="271"/>
      <c r="D195" s="421"/>
    </row>
    <row r="196" spans="1:4" x14ac:dyDescent="0.25">
      <c r="A196" s="36">
        <v>1</v>
      </c>
      <c r="B196" s="103" t="s">
        <v>119</v>
      </c>
      <c r="C196" s="223"/>
      <c r="D196" s="428"/>
    </row>
    <row r="197" spans="1:4" x14ac:dyDescent="0.25">
      <c r="A197" s="36">
        <v>2</v>
      </c>
      <c r="B197" s="103" t="s">
        <v>120</v>
      </c>
      <c r="C197" s="223"/>
      <c r="D197" s="421"/>
    </row>
    <row r="198" spans="1:4" x14ac:dyDescent="0.25">
      <c r="A198" s="36">
        <v>3</v>
      </c>
      <c r="B198" s="76" t="s">
        <v>578</v>
      </c>
      <c r="C198" s="28"/>
      <c r="D198" s="421"/>
    </row>
    <row r="199" spans="1:4" x14ac:dyDescent="0.25">
      <c r="A199" s="36">
        <v>4</v>
      </c>
      <c r="B199" s="76" t="s">
        <v>121</v>
      </c>
      <c r="C199" s="28"/>
      <c r="D199" s="421"/>
    </row>
    <row r="200" spans="1:4" x14ac:dyDescent="0.25">
      <c r="A200" s="36">
        <v>5</v>
      </c>
      <c r="B200" s="88" t="s">
        <v>122</v>
      </c>
      <c r="C200" s="28"/>
      <c r="D200" s="428"/>
    </row>
    <row r="201" spans="1:4" x14ac:dyDescent="0.25">
      <c r="A201" s="36">
        <v>6</v>
      </c>
      <c r="B201" s="76" t="s">
        <v>123</v>
      </c>
      <c r="C201" s="28"/>
      <c r="D201" s="421"/>
    </row>
    <row r="202" spans="1:4" x14ac:dyDescent="0.25">
      <c r="A202" s="36">
        <v>7</v>
      </c>
      <c r="B202" s="76" t="s">
        <v>559</v>
      </c>
      <c r="C202" s="28"/>
      <c r="D202" s="421"/>
    </row>
    <row r="203" spans="1:4" x14ac:dyDescent="0.25">
      <c r="A203" s="36">
        <v>8</v>
      </c>
      <c r="B203" s="76" t="s">
        <v>124</v>
      </c>
      <c r="C203" s="28"/>
      <c r="D203" s="421"/>
    </row>
    <row r="204" spans="1:4" x14ac:dyDescent="0.25">
      <c r="A204" s="36">
        <v>9</v>
      </c>
      <c r="B204" s="76" t="s">
        <v>53</v>
      </c>
      <c r="C204" s="28"/>
      <c r="D204" s="421"/>
    </row>
    <row r="205" spans="1:4" x14ac:dyDescent="0.25">
      <c r="A205" s="36">
        <v>10</v>
      </c>
      <c r="B205" s="76" t="s">
        <v>246</v>
      </c>
      <c r="C205" s="28"/>
      <c r="D205" s="421"/>
    </row>
    <row r="206" spans="1:4" x14ac:dyDescent="0.25">
      <c r="A206" s="36">
        <v>11</v>
      </c>
      <c r="B206" s="88" t="s">
        <v>64</v>
      </c>
      <c r="C206" s="28"/>
      <c r="D206" s="421"/>
    </row>
    <row r="207" spans="1:4" x14ac:dyDescent="0.25">
      <c r="A207" s="61">
        <v>12</v>
      </c>
      <c r="B207" s="88" t="s">
        <v>96</v>
      </c>
      <c r="C207" s="28"/>
      <c r="D207" s="421"/>
    </row>
    <row r="208" spans="1:4" x14ac:dyDescent="0.25">
      <c r="A208" s="36">
        <v>13</v>
      </c>
      <c r="B208" s="89" t="s">
        <v>117</v>
      </c>
      <c r="C208" s="28"/>
      <c r="D208" s="421"/>
    </row>
    <row r="209" spans="1:4" x14ac:dyDescent="0.25">
      <c r="A209" s="36">
        <v>14</v>
      </c>
      <c r="B209" s="88" t="s">
        <v>45</v>
      </c>
      <c r="C209" s="28"/>
      <c r="D209" s="421"/>
    </row>
    <row r="210" spans="1:4" x14ac:dyDescent="0.25">
      <c r="A210" s="36">
        <v>15</v>
      </c>
      <c r="B210" s="88" t="s">
        <v>476</v>
      </c>
      <c r="C210" s="28"/>
      <c r="D210" s="421"/>
    </row>
    <row r="211" spans="1:4" x14ac:dyDescent="0.25">
      <c r="A211" s="47">
        <v>16</v>
      </c>
      <c r="B211" s="88" t="s">
        <v>478</v>
      </c>
      <c r="C211" s="28"/>
      <c r="D211" s="421"/>
    </row>
    <row r="212" spans="1:4" x14ac:dyDescent="0.25">
      <c r="A212" s="147"/>
      <c r="B212" s="151" t="s">
        <v>127</v>
      </c>
      <c r="C212" s="271"/>
      <c r="D212" s="421"/>
    </row>
    <row r="213" spans="1:4" ht="26.25" x14ac:dyDescent="0.25">
      <c r="A213" s="61">
        <v>1</v>
      </c>
      <c r="B213" s="152" t="s">
        <v>128</v>
      </c>
      <c r="C213" s="223"/>
      <c r="D213" s="428"/>
    </row>
    <row r="214" spans="1:4" x14ac:dyDescent="0.25">
      <c r="A214" s="61">
        <v>2</v>
      </c>
      <c r="B214" s="88" t="s">
        <v>129</v>
      </c>
      <c r="C214" s="223"/>
      <c r="D214" s="428"/>
    </row>
    <row r="215" spans="1:4" x14ac:dyDescent="0.25">
      <c r="A215" s="61"/>
      <c r="B215" s="406" t="s">
        <v>97</v>
      </c>
      <c r="C215" s="271"/>
      <c r="D215" s="428"/>
    </row>
    <row r="216" spans="1:4" x14ac:dyDescent="0.25">
      <c r="A216" s="61">
        <v>1</v>
      </c>
      <c r="B216" s="86" t="s">
        <v>253</v>
      </c>
      <c r="C216" s="223"/>
      <c r="D216" s="428"/>
    </row>
    <row r="217" spans="1:4" x14ac:dyDescent="0.25">
      <c r="A217" s="61">
        <v>2</v>
      </c>
      <c r="B217" s="86" t="s">
        <v>653</v>
      </c>
      <c r="C217" s="223"/>
      <c r="D217" s="428"/>
    </row>
    <row r="218" spans="1:4" x14ac:dyDescent="0.25">
      <c r="A218" s="61">
        <v>3</v>
      </c>
      <c r="B218" s="86" t="s">
        <v>106</v>
      </c>
      <c r="C218" s="223"/>
      <c r="D218" s="428"/>
    </row>
    <row r="219" spans="1:4" ht="18.75" x14ac:dyDescent="0.3">
      <c r="A219" s="61"/>
      <c r="B219" s="101" t="s">
        <v>133</v>
      </c>
      <c r="C219" s="410"/>
      <c r="D219" s="421"/>
    </row>
    <row r="220" spans="1:4" x14ac:dyDescent="0.25">
      <c r="A220" s="61"/>
      <c r="B220" s="671" t="s">
        <v>39</v>
      </c>
      <c r="C220" s="671"/>
      <c r="D220" s="421"/>
    </row>
    <row r="221" spans="1:4" ht="26.25" x14ac:dyDescent="0.25">
      <c r="A221" s="61">
        <v>1</v>
      </c>
      <c r="B221" s="86" t="s">
        <v>134</v>
      </c>
      <c r="C221" s="445" t="s">
        <v>1337</v>
      </c>
      <c r="D221" s="413" t="s">
        <v>1383</v>
      </c>
    </row>
    <row r="222" spans="1:4" ht="26.25" x14ac:dyDescent="0.25">
      <c r="A222" s="61">
        <v>2</v>
      </c>
      <c r="B222" s="103" t="s">
        <v>135</v>
      </c>
      <c r="C222" s="260" t="s">
        <v>1337</v>
      </c>
      <c r="D222" s="413" t="s">
        <v>1343</v>
      </c>
    </row>
    <row r="223" spans="1:4" ht="26.25" x14ac:dyDescent="0.25">
      <c r="A223" s="61">
        <v>3</v>
      </c>
      <c r="B223" s="76" t="s">
        <v>43</v>
      </c>
      <c r="C223" s="260" t="s">
        <v>1337</v>
      </c>
      <c r="D223" s="413" t="s">
        <v>1344</v>
      </c>
    </row>
    <row r="224" spans="1:4" ht="26.25" x14ac:dyDescent="0.25">
      <c r="A224" s="61">
        <v>4</v>
      </c>
      <c r="B224" s="76" t="s">
        <v>24</v>
      </c>
      <c r="C224" s="260" t="s">
        <v>1337</v>
      </c>
      <c r="D224" s="413" t="s">
        <v>1384</v>
      </c>
    </row>
    <row r="225" spans="1:4" x14ac:dyDescent="0.25">
      <c r="A225" s="61"/>
      <c r="B225" s="76" t="s">
        <v>64</v>
      </c>
      <c r="C225" s="260" t="s">
        <v>1337</v>
      </c>
      <c r="D225" s="421"/>
    </row>
    <row r="226" spans="1:4" x14ac:dyDescent="0.25">
      <c r="A226" s="61">
        <v>5</v>
      </c>
      <c r="B226" s="76" t="s">
        <v>44</v>
      </c>
      <c r="C226" s="444" t="s">
        <v>1190</v>
      </c>
      <c r="D226" s="429" t="s">
        <v>1191</v>
      </c>
    </row>
    <row r="227" spans="1:4" ht="26.25" x14ac:dyDescent="0.25">
      <c r="A227" s="61">
        <v>6</v>
      </c>
      <c r="B227" s="76" t="s">
        <v>35</v>
      </c>
      <c r="C227" s="260" t="s">
        <v>1337</v>
      </c>
      <c r="D227" s="413" t="s">
        <v>1345</v>
      </c>
    </row>
    <row r="228" spans="1:4" x14ac:dyDescent="0.25">
      <c r="A228" s="61"/>
      <c r="B228" s="163" t="s">
        <v>136</v>
      </c>
      <c r="C228" s="260"/>
      <c r="D228" s="421"/>
    </row>
    <row r="229" spans="1:4" x14ac:dyDescent="0.25">
      <c r="A229" s="61">
        <v>1</v>
      </c>
      <c r="B229" s="86" t="s">
        <v>47</v>
      </c>
      <c r="C229" s="260" t="s">
        <v>727</v>
      </c>
      <c r="D229" s="421"/>
    </row>
    <row r="230" spans="1:4" x14ac:dyDescent="0.25">
      <c r="A230" s="61"/>
      <c r="B230" s="76" t="s">
        <v>549</v>
      </c>
      <c r="C230" s="260" t="s">
        <v>1337</v>
      </c>
      <c r="D230" s="421"/>
    </row>
    <row r="231" spans="1:4" x14ac:dyDescent="0.25">
      <c r="A231" s="61"/>
      <c r="B231" s="76" t="s">
        <v>551</v>
      </c>
      <c r="C231" s="260" t="s">
        <v>1337</v>
      </c>
      <c r="D231" s="421"/>
    </row>
    <row r="232" spans="1:4" x14ac:dyDescent="0.25">
      <c r="A232" s="61"/>
      <c r="B232" s="76" t="s">
        <v>536</v>
      </c>
      <c r="C232" s="260" t="s">
        <v>1337</v>
      </c>
      <c r="D232" s="421"/>
    </row>
    <row r="233" spans="1:4" x14ac:dyDescent="0.25">
      <c r="A233" s="61"/>
      <c r="B233" s="76" t="s">
        <v>563</v>
      </c>
      <c r="C233" s="260" t="s">
        <v>1337</v>
      </c>
      <c r="D233" s="421"/>
    </row>
    <row r="234" spans="1:4" x14ac:dyDescent="0.25">
      <c r="A234" s="61"/>
      <c r="B234" s="76" t="s">
        <v>550</v>
      </c>
      <c r="C234" s="260" t="s">
        <v>1337</v>
      </c>
      <c r="D234" s="421"/>
    </row>
    <row r="235" spans="1:4" x14ac:dyDescent="0.25">
      <c r="A235" s="61"/>
      <c r="B235" s="76" t="s">
        <v>70</v>
      </c>
      <c r="C235" s="260" t="s">
        <v>1337</v>
      </c>
      <c r="D235" s="421"/>
    </row>
    <row r="236" spans="1:4" x14ac:dyDescent="0.25">
      <c r="A236" s="61">
        <v>2</v>
      </c>
      <c r="B236" s="86" t="s">
        <v>53</v>
      </c>
      <c r="C236" s="260" t="s">
        <v>728</v>
      </c>
      <c r="D236" s="421"/>
    </row>
    <row r="237" spans="1:4" x14ac:dyDescent="0.25">
      <c r="A237" s="61">
        <v>3</v>
      </c>
      <c r="B237" s="76" t="s">
        <v>64</v>
      </c>
      <c r="C237" s="260" t="s">
        <v>1337</v>
      </c>
      <c r="D237" s="421"/>
    </row>
    <row r="238" spans="1:4" x14ac:dyDescent="0.25">
      <c r="A238" s="61"/>
      <c r="B238" s="90" t="s">
        <v>561</v>
      </c>
      <c r="C238" s="260"/>
      <c r="D238" s="421"/>
    </row>
    <row r="239" spans="1:4" x14ac:dyDescent="0.25">
      <c r="A239" s="61">
        <v>1</v>
      </c>
      <c r="B239" s="76" t="s">
        <v>562</v>
      </c>
      <c r="C239" s="260" t="s">
        <v>1337</v>
      </c>
      <c r="D239" s="421"/>
    </row>
    <row r="240" spans="1:4" x14ac:dyDescent="0.25">
      <c r="A240" s="61"/>
      <c r="B240" s="120" t="s">
        <v>77</v>
      </c>
      <c r="C240" s="260"/>
      <c r="D240" s="421"/>
    </row>
    <row r="241" spans="1:4" x14ac:dyDescent="0.25">
      <c r="A241" s="61">
        <v>1</v>
      </c>
      <c r="B241" s="88" t="s">
        <v>78</v>
      </c>
      <c r="C241" s="260" t="s">
        <v>730</v>
      </c>
      <c r="D241" s="421"/>
    </row>
    <row r="242" spans="1:4" x14ac:dyDescent="0.25">
      <c r="A242" s="61">
        <v>2</v>
      </c>
      <c r="B242" s="88" t="s">
        <v>79</v>
      </c>
      <c r="C242" s="260" t="s">
        <v>729</v>
      </c>
      <c r="D242" s="421"/>
    </row>
    <row r="243" spans="1:4" x14ac:dyDescent="0.25">
      <c r="A243" s="61"/>
      <c r="B243" s="406" t="s">
        <v>55</v>
      </c>
      <c r="C243" s="271"/>
      <c r="D243" s="421"/>
    </row>
    <row r="244" spans="1:4" x14ac:dyDescent="0.25">
      <c r="A244" s="61">
        <v>1</v>
      </c>
      <c r="B244" s="76" t="s">
        <v>56</v>
      </c>
      <c r="C244" s="260" t="s">
        <v>731</v>
      </c>
      <c r="D244" s="421"/>
    </row>
    <row r="245" spans="1:4" x14ac:dyDescent="0.25">
      <c r="A245" s="61">
        <v>2</v>
      </c>
      <c r="B245" s="76" t="s">
        <v>64</v>
      </c>
      <c r="C245" s="260" t="s">
        <v>732</v>
      </c>
      <c r="D245" s="421"/>
    </row>
    <row r="246" spans="1:4" x14ac:dyDescent="0.25">
      <c r="A246" s="61"/>
      <c r="B246" s="406" t="s">
        <v>60</v>
      </c>
      <c r="C246" s="260"/>
      <c r="D246" s="421"/>
    </row>
    <row r="247" spans="1:4" x14ac:dyDescent="0.25">
      <c r="A247" s="61">
        <v>1</v>
      </c>
      <c r="B247" s="76" t="s">
        <v>62</v>
      </c>
      <c r="C247" s="260" t="s">
        <v>733</v>
      </c>
      <c r="D247" s="421"/>
    </row>
    <row r="248" spans="1:4" x14ac:dyDescent="0.25">
      <c r="A248" s="61"/>
      <c r="B248" s="406" t="s">
        <v>80</v>
      </c>
      <c r="C248" s="58"/>
      <c r="D248" s="421"/>
    </row>
    <row r="249" spans="1:4" x14ac:dyDescent="0.25">
      <c r="A249" s="61">
        <v>1</v>
      </c>
      <c r="B249" s="76" t="s">
        <v>81</v>
      </c>
      <c r="C249" s="260" t="s">
        <v>734</v>
      </c>
      <c r="D249" s="421"/>
    </row>
    <row r="250" spans="1:4" x14ac:dyDescent="0.25">
      <c r="A250" s="61">
        <v>2</v>
      </c>
      <c r="B250" s="125" t="s">
        <v>64</v>
      </c>
      <c r="C250" s="260" t="s">
        <v>735</v>
      </c>
      <c r="D250" s="421"/>
    </row>
    <row r="251" spans="1:4" x14ac:dyDescent="0.25">
      <c r="A251" s="61"/>
      <c r="B251" s="406" t="s">
        <v>82</v>
      </c>
      <c r="C251" s="260"/>
      <c r="D251" s="421"/>
    </row>
    <row r="252" spans="1:4" x14ac:dyDescent="0.25">
      <c r="A252" s="61">
        <v>1</v>
      </c>
      <c r="B252" s="76" t="s">
        <v>83</v>
      </c>
      <c r="C252" s="260" t="s">
        <v>736</v>
      </c>
      <c r="D252" s="421"/>
    </row>
    <row r="253" spans="1:4" x14ac:dyDescent="0.25">
      <c r="A253" s="61">
        <v>2</v>
      </c>
      <c r="B253" s="76" t="s">
        <v>536</v>
      </c>
      <c r="C253" s="260" t="s">
        <v>1337</v>
      </c>
      <c r="D253" s="421"/>
    </row>
    <row r="254" spans="1:4" x14ac:dyDescent="0.25">
      <c r="A254" s="61">
        <v>3</v>
      </c>
      <c r="B254" s="126" t="s">
        <v>577</v>
      </c>
      <c r="C254" s="260" t="s">
        <v>737</v>
      </c>
      <c r="D254" s="421"/>
    </row>
    <row r="255" spans="1:4" x14ac:dyDescent="0.25">
      <c r="A255" s="61">
        <v>4</v>
      </c>
      <c r="B255" s="76" t="s">
        <v>45</v>
      </c>
      <c r="C255" s="260" t="s">
        <v>738</v>
      </c>
      <c r="D255" s="421"/>
    </row>
    <row r="256" spans="1:4" x14ac:dyDescent="0.25">
      <c r="A256" s="61"/>
      <c r="B256" s="406" t="s">
        <v>137</v>
      </c>
      <c r="C256" s="410"/>
      <c r="D256" s="421"/>
    </row>
    <row r="257" spans="1:4" x14ac:dyDescent="0.25">
      <c r="A257" s="61">
        <v>1</v>
      </c>
      <c r="B257" s="86" t="s">
        <v>138</v>
      </c>
      <c r="C257" s="223" t="s">
        <v>1337</v>
      </c>
      <c r="D257" s="421"/>
    </row>
    <row r="258" spans="1:4" x14ac:dyDescent="0.25">
      <c r="A258" s="61">
        <v>2</v>
      </c>
      <c r="B258" s="76" t="s">
        <v>68</v>
      </c>
      <c r="C258" s="260" t="s">
        <v>739</v>
      </c>
      <c r="D258" s="421"/>
    </row>
    <row r="259" spans="1:4" x14ac:dyDescent="0.25">
      <c r="A259" s="61">
        <v>3</v>
      </c>
      <c r="B259" s="126" t="s">
        <v>64</v>
      </c>
      <c r="C259" s="260" t="s">
        <v>740</v>
      </c>
      <c r="D259" s="421"/>
    </row>
    <row r="260" spans="1:4" x14ac:dyDescent="0.25">
      <c r="A260" s="61">
        <v>4</v>
      </c>
      <c r="B260" s="126" t="s">
        <v>94</v>
      </c>
      <c r="C260" s="260" t="s">
        <v>1337</v>
      </c>
      <c r="D260" s="421"/>
    </row>
    <row r="261" spans="1:4" x14ac:dyDescent="0.25">
      <c r="A261" s="61">
        <v>5</v>
      </c>
      <c r="B261" s="76" t="s">
        <v>45</v>
      </c>
      <c r="C261" s="260" t="s">
        <v>1337</v>
      </c>
      <c r="D261" s="421"/>
    </row>
    <row r="262" spans="1:4" x14ac:dyDescent="0.25">
      <c r="A262" s="61"/>
      <c r="B262" s="166" t="s">
        <v>139</v>
      </c>
      <c r="C262" s="271"/>
      <c r="D262" s="421"/>
    </row>
    <row r="263" spans="1:4" x14ac:dyDescent="0.25">
      <c r="A263" s="61">
        <v>5</v>
      </c>
      <c r="B263" s="76" t="s">
        <v>68</v>
      </c>
      <c r="C263" s="260" t="s">
        <v>741</v>
      </c>
      <c r="D263" s="421"/>
    </row>
    <row r="264" spans="1:4" x14ac:dyDescent="0.25">
      <c r="A264" s="61">
        <v>6</v>
      </c>
      <c r="B264" s="126" t="s">
        <v>64</v>
      </c>
      <c r="C264" s="260" t="s">
        <v>742</v>
      </c>
      <c r="D264" s="421"/>
    </row>
    <row r="265" spans="1:4" x14ac:dyDescent="0.25">
      <c r="A265" s="61"/>
      <c r="B265" s="406" t="s">
        <v>84</v>
      </c>
      <c r="C265" s="260"/>
      <c r="D265" s="421"/>
    </row>
    <row r="266" spans="1:4" x14ac:dyDescent="0.25">
      <c r="A266" s="61">
        <v>1</v>
      </c>
      <c r="B266" s="76" t="s">
        <v>85</v>
      </c>
      <c r="C266" s="260" t="s">
        <v>743</v>
      </c>
      <c r="D266" s="421"/>
    </row>
    <row r="267" spans="1:4" x14ac:dyDescent="0.25">
      <c r="A267" s="61">
        <v>2</v>
      </c>
      <c r="B267" s="76" t="s">
        <v>141</v>
      </c>
      <c r="C267" s="260" t="s">
        <v>744</v>
      </c>
      <c r="D267" s="421"/>
    </row>
    <row r="268" spans="1:4" x14ac:dyDescent="0.25">
      <c r="A268" s="61">
        <v>3</v>
      </c>
      <c r="B268" s="76" t="s">
        <v>45</v>
      </c>
      <c r="C268" s="260" t="s">
        <v>745</v>
      </c>
      <c r="D268" s="421"/>
    </row>
    <row r="269" spans="1:4" x14ac:dyDescent="0.25">
      <c r="A269" s="61"/>
      <c r="B269" s="406" t="s">
        <v>87</v>
      </c>
      <c r="C269" s="260"/>
      <c r="D269" s="421"/>
    </row>
    <row r="270" spans="1:4" x14ac:dyDescent="0.25">
      <c r="A270" s="61">
        <v>1</v>
      </c>
      <c r="B270" s="76" t="s">
        <v>88</v>
      </c>
      <c r="C270" s="260" t="s">
        <v>746</v>
      </c>
      <c r="D270" s="421"/>
    </row>
    <row r="271" spans="1:4" x14ac:dyDescent="0.25">
      <c r="A271" s="61">
        <v>2</v>
      </c>
      <c r="B271" s="76" t="s">
        <v>670</v>
      </c>
      <c r="C271" s="260" t="s">
        <v>1337</v>
      </c>
      <c r="D271" s="421"/>
    </row>
    <row r="272" spans="1:4" x14ac:dyDescent="0.25">
      <c r="A272" s="61">
        <v>3</v>
      </c>
      <c r="B272" s="126" t="s">
        <v>64</v>
      </c>
      <c r="C272" s="260" t="s">
        <v>1337</v>
      </c>
      <c r="D272" s="421"/>
    </row>
    <row r="273" spans="1:4" x14ac:dyDescent="0.25">
      <c r="A273" s="61"/>
      <c r="B273" s="406" t="s">
        <v>58</v>
      </c>
      <c r="C273" s="271"/>
      <c r="D273" s="421"/>
    </row>
    <row r="274" spans="1:4" x14ac:dyDescent="0.25">
      <c r="A274" s="61">
        <v>1</v>
      </c>
      <c r="B274" s="76" t="s">
        <v>59</v>
      </c>
      <c r="C274" s="260" t="s">
        <v>747</v>
      </c>
      <c r="D274" s="421"/>
    </row>
    <row r="275" spans="1:4" x14ac:dyDescent="0.25">
      <c r="A275" s="61"/>
      <c r="B275" s="166" t="s">
        <v>144</v>
      </c>
      <c r="C275" s="311"/>
      <c r="D275" s="421"/>
    </row>
    <row r="276" spans="1:4" x14ac:dyDescent="0.25">
      <c r="A276" s="61">
        <v>1</v>
      </c>
      <c r="B276" s="60" t="s">
        <v>145</v>
      </c>
      <c r="C276" s="260" t="s">
        <v>748</v>
      </c>
      <c r="D276" s="421"/>
    </row>
    <row r="277" spans="1:4" x14ac:dyDescent="0.25">
      <c r="A277" s="61"/>
      <c r="B277" s="166" t="s">
        <v>146</v>
      </c>
      <c r="C277" s="311"/>
      <c r="D277" s="421"/>
    </row>
    <row r="278" spans="1:4" x14ac:dyDescent="0.25">
      <c r="A278" s="61">
        <v>1</v>
      </c>
      <c r="B278" s="60" t="s">
        <v>147</v>
      </c>
      <c r="C278" s="260" t="s">
        <v>749</v>
      </c>
      <c r="D278" s="421"/>
    </row>
    <row r="279" spans="1:4" x14ac:dyDescent="0.25">
      <c r="A279" s="61"/>
      <c r="B279" s="166" t="s">
        <v>65</v>
      </c>
      <c r="C279" s="271"/>
      <c r="D279" s="421"/>
    </row>
    <row r="280" spans="1:4" x14ac:dyDescent="0.25">
      <c r="A280" s="61">
        <v>1</v>
      </c>
      <c r="B280" s="76" t="s">
        <v>66</v>
      </c>
      <c r="C280" s="260" t="s">
        <v>1337</v>
      </c>
      <c r="D280" s="421"/>
    </row>
    <row r="281" spans="1:4" x14ac:dyDescent="0.25">
      <c r="A281" s="61">
        <v>2</v>
      </c>
      <c r="B281" s="125" t="s">
        <v>64</v>
      </c>
      <c r="C281" s="260" t="s">
        <v>1337</v>
      </c>
      <c r="D281" s="421"/>
    </row>
    <row r="282" spans="1:4" x14ac:dyDescent="0.25">
      <c r="A282" s="61"/>
      <c r="B282" s="173" t="s">
        <v>148</v>
      </c>
      <c r="C282" s="311"/>
      <c r="D282" s="421"/>
    </row>
    <row r="283" spans="1:4" x14ac:dyDescent="0.25">
      <c r="A283" s="61">
        <v>1</v>
      </c>
      <c r="B283" s="86" t="s">
        <v>149</v>
      </c>
      <c r="C283" s="260" t="s">
        <v>750</v>
      </c>
      <c r="D283" s="421"/>
    </row>
    <row r="284" spans="1:4" x14ac:dyDescent="0.25">
      <c r="A284" s="61">
        <v>2</v>
      </c>
      <c r="B284" s="86" t="s">
        <v>75</v>
      </c>
      <c r="C284" s="260" t="s">
        <v>752</v>
      </c>
      <c r="D284" s="421"/>
    </row>
    <row r="285" spans="1:4" x14ac:dyDescent="0.25">
      <c r="A285" s="61">
        <v>3</v>
      </c>
      <c r="B285" s="86" t="s">
        <v>76</v>
      </c>
      <c r="C285" s="260" t="s">
        <v>753</v>
      </c>
      <c r="D285" s="421"/>
    </row>
    <row r="286" spans="1:4" x14ac:dyDescent="0.25">
      <c r="A286" s="61">
        <v>4</v>
      </c>
      <c r="B286" s="76" t="s">
        <v>32</v>
      </c>
      <c r="C286" s="260" t="s">
        <v>754</v>
      </c>
      <c r="D286" s="421"/>
    </row>
    <row r="287" spans="1:4" x14ac:dyDescent="0.25">
      <c r="A287" s="61">
        <v>5</v>
      </c>
      <c r="B287" s="76" t="s">
        <v>81</v>
      </c>
      <c r="C287" s="260" t="s">
        <v>755</v>
      </c>
      <c r="D287" s="421"/>
    </row>
    <row r="288" spans="1:4" x14ac:dyDescent="0.25">
      <c r="A288" s="416">
        <v>6</v>
      </c>
      <c r="B288" s="344" t="s">
        <v>83</v>
      </c>
      <c r="C288" s="444" t="s">
        <v>757</v>
      </c>
      <c r="D288" s="414" t="s">
        <v>758</v>
      </c>
    </row>
    <row r="289" spans="1:4" x14ac:dyDescent="0.25">
      <c r="A289" s="61">
        <v>7</v>
      </c>
      <c r="B289" s="76" t="s">
        <v>85</v>
      </c>
      <c r="C289" s="260" t="s">
        <v>1337</v>
      </c>
      <c r="D289" s="421"/>
    </row>
    <row r="290" spans="1:4" x14ac:dyDescent="0.25">
      <c r="A290" s="61">
        <v>8</v>
      </c>
      <c r="B290" s="76" t="s">
        <v>88</v>
      </c>
      <c r="C290" s="260" t="s">
        <v>1337</v>
      </c>
      <c r="D290" s="421"/>
    </row>
    <row r="291" spans="1:4" x14ac:dyDescent="0.25">
      <c r="A291" s="61">
        <v>9</v>
      </c>
      <c r="B291" s="86" t="s">
        <v>53</v>
      </c>
      <c r="C291" s="260" t="s">
        <v>751</v>
      </c>
      <c r="D291" s="421"/>
    </row>
    <row r="292" spans="1:4" x14ac:dyDescent="0.25">
      <c r="A292" s="416">
        <v>10</v>
      </c>
      <c r="B292" s="417" t="s">
        <v>64</v>
      </c>
      <c r="C292" s="444" t="s">
        <v>756</v>
      </c>
      <c r="D292" s="414" t="s">
        <v>1326</v>
      </c>
    </row>
    <row r="293" spans="1:4" x14ac:dyDescent="0.25">
      <c r="A293" s="61">
        <v>11</v>
      </c>
      <c r="B293" s="76" t="s">
        <v>141</v>
      </c>
      <c r="C293" s="260" t="s">
        <v>1337</v>
      </c>
      <c r="D293" s="421"/>
    </row>
    <row r="294" spans="1:4" x14ac:dyDescent="0.25">
      <c r="A294" s="61">
        <v>12</v>
      </c>
      <c r="B294" s="86" t="s">
        <v>478</v>
      </c>
      <c r="C294" s="223" t="s">
        <v>1337</v>
      </c>
      <c r="D294" s="421"/>
    </row>
    <row r="295" spans="1:4" x14ac:dyDescent="0.25">
      <c r="A295" s="61">
        <v>13</v>
      </c>
      <c r="B295" s="86" t="s">
        <v>653</v>
      </c>
      <c r="C295" s="223" t="s">
        <v>1337</v>
      </c>
      <c r="D295" s="421"/>
    </row>
    <row r="296" spans="1:4" x14ac:dyDescent="0.25">
      <c r="A296" s="61"/>
      <c r="B296" s="186" t="s">
        <v>151</v>
      </c>
      <c r="C296" s="271"/>
      <c r="D296" s="421"/>
    </row>
    <row r="297" spans="1:4" x14ac:dyDescent="0.25">
      <c r="A297" s="61">
        <v>1</v>
      </c>
      <c r="B297" s="76" t="s">
        <v>152</v>
      </c>
      <c r="C297" s="260" t="s">
        <v>759</v>
      </c>
      <c r="D297" s="421"/>
    </row>
    <row r="298" spans="1:4" x14ac:dyDescent="0.25">
      <c r="A298" s="61">
        <v>2</v>
      </c>
      <c r="B298" s="76" t="s">
        <v>90</v>
      </c>
      <c r="C298" s="260" t="s">
        <v>760</v>
      </c>
      <c r="D298" s="421"/>
    </row>
    <row r="299" spans="1:4" x14ac:dyDescent="0.25">
      <c r="A299" s="61">
        <v>3</v>
      </c>
      <c r="B299" s="76" t="s">
        <v>53</v>
      </c>
      <c r="C299" s="260" t="s">
        <v>761</v>
      </c>
      <c r="D299" s="421"/>
    </row>
    <row r="300" spans="1:4" x14ac:dyDescent="0.25">
      <c r="A300" s="61">
        <v>4</v>
      </c>
      <c r="B300" s="76" t="s">
        <v>64</v>
      </c>
      <c r="C300" s="260" t="s">
        <v>762</v>
      </c>
      <c r="D300" s="421"/>
    </row>
    <row r="301" spans="1:4" x14ac:dyDescent="0.25">
      <c r="A301" s="61">
        <v>5</v>
      </c>
      <c r="B301" s="76" t="s">
        <v>44</v>
      </c>
      <c r="C301" s="223" t="s">
        <v>1337</v>
      </c>
      <c r="D301" s="421"/>
    </row>
    <row r="302" spans="1:4" x14ac:dyDescent="0.25">
      <c r="A302" s="61">
        <v>6</v>
      </c>
      <c r="B302" s="76" t="s">
        <v>45</v>
      </c>
      <c r="C302" s="223" t="s">
        <v>1337</v>
      </c>
      <c r="D302" s="421"/>
    </row>
    <row r="303" spans="1:4" x14ac:dyDescent="0.25">
      <c r="A303" s="61">
        <v>7</v>
      </c>
      <c r="B303" s="76" t="s">
        <v>478</v>
      </c>
      <c r="C303" s="223" t="s">
        <v>1337</v>
      </c>
      <c r="D303" s="412" t="s">
        <v>763</v>
      </c>
    </row>
    <row r="304" spans="1:4" x14ac:dyDescent="0.25">
      <c r="A304" s="61"/>
      <c r="B304" s="195" t="s">
        <v>479</v>
      </c>
      <c r="C304" s="223"/>
      <c r="D304" s="421"/>
    </row>
    <row r="305" spans="1:4" x14ac:dyDescent="0.25">
      <c r="A305" s="61">
        <v>1</v>
      </c>
      <c r="B305" s="88" t="s">
        <v>480</v>
      </c>
      <c r="C305" s="223" t="s">
        <v>1122</v>
      </c>
      <c r="D305" s="421"/>
    </row>
    <row r="306" spans="1:4" x14ac:dyDescent="0.25">
      <c r="A306" s="61">
        <v>2</v>
      </c>
      <c r="B306" s="88" t="s">
        <v>94</v>
      </c>
      <c r="C306" s="223" t="s">
        <v>1124</v>
      </c>
      <c r="D306" s="421"/>
    </row>
    <row r="307" spans="1:4" x14ac:dyDescent="0.25">
      <c r="A307" s="61">
        <v>3</v>
      </c>
      <c r="B307" s="76" t="s">
        <v>45</v>
      </c>
      <c r="C307" s="223" t="s">
        <v>1337</v>
      </c>
      <c r="D307" s="421"/>
    </row>
    <row r="308" spans="1:4" x14ac:dyDescent="0.25">
      <c r="A308" s="61">
        <v>4</v>
      </c>
      <c r="B308" s="76" t="s">
        <v>269</v>
      </c>
      <c r="C308" s="223" t="s">
        <v>1123</v>
      </c>
      <c r="D308" s="421"/>
    </row>
    <row r="309" spans="1:4" x14ac:dyDescent="0.25">
      <c r="A309" s="61"/>
      <c r="B309" s="196" t="s">
        <v>80</v>
      </c>
      <c r="C309" s="223"/>
      <c r="D309" s="421"/>
    </row>
    <row r="310" spans="1:4" x14ac:dyDescent="0.25">
      <c r="A310" s="61">
        <v>5</v>
      </c>
      <c r="B310" s="76" t="s">
        <v>81</v>
      </c>
      <c r="C310" s="223" t="s">
        <v>1337</v>
      </c>
      <c r="D310" s="421"/>
    </row>
    <row r="311" spans="1:4" x14ac:dyDescent="0.25">
      <c r="A311" s="61">
        <v>6</v>
      </c>
      <c r="B311" s="76" t="s">
        <v>64</v>
      </c>
      <c r="C311" s="223" t="s">
        <v>1337</v>
      </c>
      <c r="D311" s="421"/>
    </row>
    <row r="312" spans="1:4" x14ac:dyDescent="0.25">
      <c r="A312" s="61"/>
      <c r="B312" s="79" t="s">
        <v>91</v>
      </c>
      <c r="C312" s="223"/>
      <c r="D312" s="421"/>
    </row>
    <row r="313" spans="1:4" x14ac:dyDescent="0.25">
      <c r="A313" s="61">
        <v>7</v>
      </c>
      <c r="B313" s="76" t="s">
        <v>92</v>
      </c>
      <c r="C313" s="223" t="s">
        <v>1125</v>
      </c>
      <c r="D313" s="421"/>
    </row>
    <row r="314" spans="1:4" x14ac:dyDescent="0.25">
      <c r="A314" s="61">
        <v>8</v>
      </c>
      <c r="B314" s="76" t="s">
        <v>64</v>
      </c>
      <c r="C314" s="223" t="s">
        <v>1126</v>
      </c>
      <c r="D314" s="421"/>
    </row>
    <row r="315" spans="1:4" x14ac:dyDescent="0.25">
      <c r="A315" s="61"/>
      <c r="B315" s="79" t="s">
        <v>481</v>
      </c>
      <c r="C315" s="468"/>
      <c r="D315" s="421"/>
    </row>
    <row r="316" spans="1:4" x14ac:dyDescent="0.25">
      <c r="A316" s="61">
        <v>9</v>
      </c>
      <c r="B316" s="88" t="s">
        <v>143</v>
      </c>
      <c r="C316" s="223" t="s">
        <v>1127</v>
      </c>
      <c r="D316" s="421"/>
    </row>
    <row r="317" spans="1:4" x14ac:dyDescent="0.25">
      <c r="A317" s="47">
        <v>10</v>
      </c>
      <c r="B317" s="88" t="s">
        <v>482</v>
      </c>
      <c r="C317" s="223" t="s">
        <v>1128</v>
      </c>
      <c r="D317" s="421"/>
    </row>
    <row r="318" spans="1:4" x14ac:dyDescent="0.25">
      <c r="A318" s="61"/>
      <c r="B318" s="166" t="s">
        <v>155</v>
      </c>
      <c r="C318" s="260"/>
      <c r="D318" s="421"/>
    </row>
    <row r="319" spans="1:4" x14ac:dyDescent="0.25">
      <c r="A319" s="61">
        <v>1</v>
      </c>
      <c r="B319" s="201" t="s">
        <v>32</v>
      </c>
      <c r="C319" s="260" t="s">
        <v>764</v>
      </c>
      <c r="D319" s="421"/>
    </row>
    <row r="320" spans="1:4" x14ac:dyDescent="0.25">
      <c r="A320" s="61">
        <v>2</v>
      </c>
      <c r="B320" s="76" t="s">
        <v>94</v>
      </c>
      <c r="C320" s="260"/>
      <c r="D320" s="421"/>
    </row>
    <row r="321" spans="1:4" x14ac:dyDescent="0.25">
      <c r="A321" s="61">
        <v>3</v>
      </c>
      <c r="B321" s="76" t="s">
        <v>210</v>
      </c>
      <c r="C321" s="260"/>
      <c r="D321" s="412" t="s">
        <v>765</v>
      </c>
    </row>
    <row r="322" spans="1:4" x14ac:dyDescent="0.25">
      <c r="A322" s="61">
        <v>4</v>
      </c>
      <c r="B322" s="76" t="s">
        <v>45</v>
      </c>
      <c r="C322" s="223"/>
      <c r="D322" s="421"/>
    </row>
    <row r="323" spans="1:4" x14ac:dyDescent="0.25">
      <c r="A323" s="61"/>
      <c r="B323" s="406" t="s">
        <v>93</v>
      </c>
      <c r="C323" s="271"/>
      <c r="D323" s="421"/>
    </row>
    <row r="324" spans="1:4" x14ac:dyDescent="0.25">
      <c r="A324" s="61">
        <v>1</v>
      </c>
      <c r="B324" s="76" t="s">
        <v>94</v>
      </c>
      <c r="C324" s="260" t="s">
        <v>766</v>
      </c>
      <c r="D324" s="421"/>
    </row>
    <row r="325" spans="1:4" x14ac:dyDescent="0.25">
      <c r="A325" s="61">
        <v>2</v>
      </c>
      <c r="B325" s="76" t="s">
        <v>45</v>
      </c>
      <c r="C325" s="260"/>
      <c r="D325" s="421"/>
    </row>
    <row r="326" spans="1:4" x14ac:dyDescent="0.25">
      <c r="A326" s="61"/>
      <c r="B326" s="406" t="s">
        <v>95</v>
      </c>
      <c r="C326" s="260"/>
      <c r="D326" s="421"/>
    </row>
    <row r="327" spans="1:4" x14ac:dyDescent="0.25">
      <c r="A327" s="61">
        <v>1</v>
      </c>
      <c r="B327" s="76" t="s">
        <v>475</v>
      </c>
      <c r="C327" s="260"/>
      <c r="D327" s="421"/>
    </row>
    <row r="328" spans="1:4" x14ac:dyDescent="0.25">
      <c r="A328" s="61">
        <v>2</v>
      </c>
      <c r="B328" s="76" t="s">
        <v>476</v>
      </c>
      <c r="C328" s="260"/>
      <c r="D328" s="412" t="s">
        <v>767</v>
      </c>
    </row>
    <row r="329" spans="1:4" x14ac:dyDescent="0.25">
      <c r="A329" s="61">
        <v>3</v>
      </c>
      <c r="B329" s="76" t="s">
        <v>478</v>
      </c>
      <c r="C329" s="260"/>
      <c r="D329" s="412" t="s">
        <v>768</v>
      </c>
    </row>
    <row r="330" spans="1:4" x14ac:dyDescent="0.25">
      <c r="A330" s="61"/>
      <c r="B330" s="406" t="s">
        <v>97</v>
      </c>
      <c r="C330" s="271"/>
      <c r="D330" s="421"/>
    </row>
    <row r="331" spans="1:4" x14ac:dyDescent="0.25">
      <c r="A331" s="61">
        <v>1</v>
      </c>
      <c r="B331" s="86" t="s">
        <v>253</v>
      </c>
      <c r="C331" s="223"/>
      <c r="D331" s="421"/>
    </row>
    <row r="332" spans="1:4" x14ac:dyDescent="0.25">
      <c r="A332" s="61">
        <v>2</v>
      </c>
      <c r="B332" s="86" t="s">
        <v>653</v>
      </c>
      <c r="C332" s="223"/>
      <c r="D332" s="421"/>
    </row>
    <row r="333" spans="1:4" x14ac:dyDescent="0.25">
      <c r="A333" s="61">
        <v>3</v>
      </c>
      <c r="B333" s="86" t="s">
        <v>106</v>
      </c>
      <c r="C333" s="223"/>
      <c r="D333" s="421"/>
    </row>
    <row r="334" spans="1:4" s="336" customFormat="1" ht="18.75" x14ac:dyDescent="0.3">
      <c r="A334" s="398"/>
      <c r="B334" s="399" t="s">
        <v>157</v>
      </c>
      <c r="C334" s="446"/>
      <c r="D334" s="422"/>
    </row>
    <row r="335" spans="1:4" s="336" customFormat="1" x14ac:dyDescent="0.25">
      <c r="A335" s="398"/>
      <c r="B335" s="363" t="s">
        <v>158</v>
      </c>
      <c r="C335" s="385"/>
      <c r="D335" s="422"/>
    </row>
    <row r="336" spans="1:4" s="336" customFormat="1" x14ac:dyDescent="0.25">
      <c r="A336" s="334">
        <v>1</v>
      </c>
      <c r="B336" s="353" t="s">
        <v>134</v>
      </c>
      <c r="C336" s="385" t="s">
        <v>959</v>
      </c>
      <c r="D336" s="422"/>
    </row>
    <row r="337" spans="1:5" s="336" customFormat="1" x14ac:dyDescent="0.25">
      <c r="A337" s="334">
        <v>2</v>
      </c>
      <c r="B337" s="359" t="s">
        <v>548</v>
      </c>
      <c r="C337" s="385" t="s">
        <v>960</v>
      </c>
      <c r="D337" s="422"/>
    </row>
    <row r="338" spans="1:5" s="336" customFormat="1" x14ac:dyDescent="0.25">
      <c r="A338" s="334">
        <v>3</v>
      </c>
      <c r="B338" s="359" t="s">
        <v>135</v>
      </c>
      <c r="C338" s="385" t="s">
        <v>961</v>
      </c>
      <c r="D338" s="422"/>
    </row>
    <row r="339" spans="1:5" s="336" customFormat="1" x14ac:dyDescent="0.25">
      <c r="A339" s="334">
        <v>4</v>
      </c>
      <c r="B339" s="350" t="s">
        <v>43</v>
      </c>
      <c r="C339" s="385" t="s">
        <v>962</v>
      </c>
      <c r="D339" s="422"/>
    </row>
    <row r="340" spans="1:5" s="336" customFormat="1" x14ac:dyDescent="0.25">
      <c r="A340" s="334">
        <v>5</v>
      </c>
      <c r="B340" s="350" t="s">
        <v>24</v>
      </c>
      <c r="C340" s="385" t="s">
        <v>963</v>
      </c>
      <c r="D340" s="422"/>
    </row>
    <row r="341" spans="1:5" s="336" customFormat="1" x14ac:dyDescent="0.25">
      <c r="A341" s="334">
        <v>6</v>
      </c>
      <c r="B341" s="350" t="s">
        <v>44</v>
      </c>
      <c r="C341" s="385" t="s">
        <v>964</v>
      </c>
      <c r="D341" s="430" t="s">
        <v>1190</v>
      </c>
      <c r="E341" s="400"/>
    </row>
    <row r="342" spans="1:5" s="336" customFormat="1" x14ac:dyDescent="0.25">
      <c r="A342" s="340">
        <v>7</v>
      </c>
      <c r="B342" s="350" t="s">
        <v>35</v>
      </c>
      <c r="C342" s="385" t="s">
        <v>965</v>
      </c>
      <c r="D342" s="430"/>
      <c r="E342" s="401"/>
    </row>
    <row r="343" spans="1:5" x14ac:dyDescent="0.25">
      <c r="A343" s="56"/>
      <c r="B343" s="120" t="s">
        <v>136</v>
      </c>
      <c r="C343" s="260"/>
      <c r="D343" s="431"/>
      <c r="E343" s="396"/>
    </row>
    <row r="344" spans="1:5" x14ac:dyDescent="0.25">
      <c r="A344" s="56">
        <v>1</v>
      </c>
      <c r="B344" s="86" t="s">
        <v>47</v>
      </c>
      <c r="C344" s="260" t="s">
        <v>966</v>
      </c>
      <c r="D344" s="421"/>
    </row>
    <row r="345" spans="1:5" x14ac:dyDescent="0.25">
      <c r="A345" s="47">
        <v>2</v>
      </c>
      <c r="B345" s="76" t="s">
        <v>551</v>
      </c>
      <c r="C345" s="260" t="s">
        <v>1337</v>
      </c>
      <c r="D345" s="421"/>
    </row>
    <row r="346" spans="1:5" x14ac:dyDescent="0.25">
      <c r="A346" s="56">
        <v>3</v>
      </c>
      <c r="B346" s="86" t="s">
        <v>70</v>
      </c>
      <c r="C346" s="260" t="s">
        <v>1337</v>
      </c>
      <c r="D346" s="421"/>
    </row>
    <row r="347" spans="1:5" x14ac:dyDescent="0.25">
      <c r="A347" s="56">
        <v>4</v>
      </c>
      <c r="B347" s="86" t="s">
        <v>53</v>
      </c>
      <c r="C347" s="260" t="s">
        <v>967</v>
      </c>
      <c r="D347" s="421"/>
    </row>
    <row r="348" spans="1:5" x14ac:dyDescent="0.25">
      <c r="A348" s="61"/>
      <c r="B348" s="90" t="s">
        <v>561</v>
      </c>
      <c r="C348" s="260"/>
      <c r="D348" s="421"/>
    </row>
    <row r="349" spans="1:5" x14ac:dyDescent="0.25">
      <c r="A349" s="61">
        <v>1</v>
      </c>
      <c r="B349" s="76" t="s">
        <v>562</v>
      </c>
      <c r="C349" s="260" t="s">
        <v>1337</v>
      </c>
      <c r="D349" s="421"/>
    </row>
    <row r="350" spans="1:5" x14ac:dyDescent="0.25">
      <c r="A350" s="56"/>
      <c r="B350" s="120" t="s">
        <v>77</v>
      </c>
      <c r="C350" s="260"/>
      <c r="D350" s="421"/>
    </row>
    <row r="351" spans="1:5" x14ac:dyDescent="0.25">
      <c r="A351" s="61">
        <v>1</v>
      </c>
      <c r="B351" s="88" t="s">
        <v>78</v>
      </c>
      <c r="C351" s="260" t="s">
        <v>1016</v>
      </c>
      <c r="D351" s="421"/>
    </row>
    <row r="352" spans="1:5" x14ac:dyDescent="0.25">
      <c r="A352" s="56">
        <v>2</v>
      </c>
      <c r="B352" s="88" t="s">
        <v>79</v>
      </c>
      <c r="C352" s="260" t="s">
        <v>1017</v>
      </c>
      <c r="D352" s="421"/>
    </row>
    <row r="353" spans="1:4" x14ac:dyDescent="0.25">
      <c r="A353" s="56"/>
      <c r="B353" s="406" t="s">
        <v>55</v>
      </c>
      <c r="C353" s="271"/>
      <c r="D353" s="421"/>
    </row>
    <row r="354" spans="1:4" x14ac:dyDescent="0.25">
      <c r="A354" s="56">
        <v>1</v>
      </c>
      <c r="B354" s="76" t="s">
        <v>56</v>
      </c>
      <c r="C354" s="260" t="s">
        <v>1018</v>
      </c>
      <c r="D354" s="421"/>
    </row>
    <row r="355" spans="1:4" x14ac:dyDescent="0.25">
      <c r="A355" s="56">
        <v>2</v>
      </c>
      <c r="B355" s="76" t="s">
        <v>64</v>
      </c>
      <c r="C355" s="260" t="s">
        <v>1337</v>
      </c>
      <c r="D355" s="421"/>
    </row>
    <row r="356" spans="1:4" x14ac:dyDescent="0.25">
      <c r="A356" s="124"/>
      <c r="B356" s="406" t="s">
        <v>60</v>
      </c>
      <c r="C356" s="260"/>
      <c r="D356" s="421"/>
    </row>
    <row r="357" spans="1:4" x14ac:dyDescent="0.25">
      <c r="A357" s="124">
        <v>1</v>
      </c>
      <c r="B357" s="76" t="s">
        <v>62</v>
      </c>
      <c r="C357" s="260" t="s">
        <v>1337</v>
      </c>
      <c r="D357" s="421"/>
    </row>
    <row r="358" spans="1:4" x14ac:dyDescent="0.25">
      <c r="A358" s="124"/>
      <c r="B358" s="406" t="s">
        <v>80</v>
      </c>
      <c r="C358" s="58"/>
      <c r="D358" s="421"/>
    </row>
    <row r="359" spans="1:4" x14ac:dyDescent="0.25">
      <c r="A359" s="124">
        <v>1</v>
      </c>
      <c r="B359" s="76" t="s">
        <v>81</v>
      </c>
      <c r="C359" s="260" t="s">
        <v>1019</v>
      </c>
      <c r="D359" s="421"/>
    </row>
    <row r="360" spans="1:4" x14ac:dyDescent="0.25">
      <c r="A360" s="124">
        <v>2</v>
      </c>
      <c r="B360" s="125" t="s">
        <v>64</v>
      </c>
      <c r="C360" s="260" t="s">
        <v>971</v>
      </c>
      <c r="D360" s="421"/>
    </row>
    <row r="361" spans="1:4" x14ac:dyDescent="0.25">
      <c r="A361" s="124"/>
      <c r="B361" s="406" t="s">
        <v>82</v>
      </c>
      <c r="C361" s="260"/>
      <c r="D361" s="421"/>
    </row>
    <row r="362" spans="1:4" x14ac:dyDescent="0.25">
      <c r="A362" s="124">
        <v>1</v>
      </c>
      <c r="B362" s="76" t="s">
        <v>83</v>
      </c>
      <c r="C362" s="260" t="s">
        <v>972</v>
      </c>
      <c r="D362" s="421"/>
    </row>
    <row r="363" spans="1:4" x14ac:dyDescent="0.25">
      <c r="A363" s="61">
        <v>3</v>
      </c>
      <c r="B363" s="126" t="s">
        <v>577</v>
      </c>
      <c r="C363" s="260" t="s">
        <v>1020</v>
      </c>
      <c r="D363" s="421"/>
    </row>
    <row r="364" spans="1:4" x14ac:dyDescent="0.25">
      <c r="A364" s="124">
        <v>4</v>
      </c>
      <c r="B364" s="76" t="s">
        <v>45</v>
      </c>
      <c r="C364" s="260" t="s">
        <v>1021</v>
      </c>
      <c r="D364" s="421"/>
    </row>
    <row r="365" spans="1:4" x14ac:dyDescent="0.25">
      <c r="A365" s="124"/>
      <c r="B365" s="406" t="s">
        <v>565</v>
      </c>
      <c r="C365" s="271"/>
      <c r="D365" s="421"/>
    </row>
    <row r="366" spans="1:4" ht="26.25" x14ac:dyDescent="0.25">
      <c r="A366" s="124"/>
      <c r="B366" s="76" t="s">
        <v>159</v>
      </c>
      <c r="C366" s="260"/>
      <c r="D366" s="426" t="s">
        <v>1022</v>
      </c>
    </row>
    <row r="367" spans="1:4" x14ac:dyDescent="0.25">
      <c r="A367" s="124"/>
      <c r="B367" s="126" t="s">
        <v>577</v>
      </c>
      <c r="C367" s="260"/>
      <c r="D367" s="421"/>
    </row>
    <row r="368" spans="1:4" x14ac:dyDescent="0.25">
      <c r="A368" s="124"/>
      <c r="B368" s="406" t="s">
        <v>67</v>
      </c>
      <c r="C368" s="410"/>
      <c r="D368" s="421"/>
    </row>
    <row r="369" spans="1:4" x14ac:dyDescent="0.25">
      <c r="A369" s="61">
        <v>1</v>
      </c>
      <c r="B369" s="76" t="s">
        <v>68</v>
      </c>
      <c r="C369" s="260" t="s">
        <v>975</v>
      </c>
      <c r="D369" s="421"/>
    </row>
    <row r="370" spans="1:4" x14ac:dyDescent="0.25">
      <c r="A370" s="61">
        <v>2</v>
      </c>
      <c r="B370" s="126" t="s">
        <v>64</v>
      </c>
      <c r="C370" s="260" t="s">
        <v>1023</v>
      </c>
      <c r="D370" s="421"/>
    </row>
    <row r="371" spans="1:4" x14ac:dyDescent="0.25">
      <c r="A371" s="61"/>
      <c r="B371" s="406" t="s">
        <v>84</v>
      </c>
      <c r="C371" s="260"/>
      <c r="D371" s="421"/>
    </row>
    <row r="372" spans="1:4" x14ac:dyDescent="0.25">
      <c r="A372" s="61">
        <v>1</v>
      </c>
      <c r="B372" s="76" t="s">
        <v>85</v>
      </c>
      <c r="C372" s="260" t="s">
        <v>1024</v>
      </c>
      <c r="D372" s="421"/>
    </row>
    <row r="373" spans="1:4" x14ac:dyDescent="0.25">
      <c r="A373" s="61">
        <v>2</v>
      </c>
      <c r="B373" s="76" t="s">
        <v>86</v>
      </c>
      <c r="C373" s="260" t="s">
        <v>976</v>
      </c>
      <c r="D373" s="421"/>
    </row>
    <row r="374" spans="1:4" x14ac:dyDescent="0.25">
      <c r="A374" s="61">
        <v>3</v>
      </c>
      <c r="B374" s="76" t="s">
        <v>45</v>
      </c>
      <c r="C374" s="260" t="s">
        <v>978</v>
      </c>
      <c r="D374" s="421"/>
    </row>
    <row r="375" spans="1:4" x14ac:dyDescent="0.25">
      <c r="A375" s="61"/>
      <c r="B375" s="406" t="s">
        <v>87</v>
      </c>
      <c r="C375" s="260"/>
      <c r="D375" s="421"/>
    </row>
    <row r="376" spans="1:4" x14ac:dyDescent="0.25">
      <c r="A376" s="61">
        <v>1</v>
      </c>
      <c r="B376" s="76" t="s">
        <v>88</v>
      </c>
      <c r="C376" s="260" t="s">
        <v>979</v>
      </c>
      <c r="D376" s="421"/>
    </row>
    <row r="377" spans="1:4" x14ac:dyDescent="0.25">
      <c r="A377" s="61">
        <v>2</v>
      </c>
      <c r="B377" s="76" t="s">
        <v>64</v>
      </c>
      <c r="C377" s="260" t="s">
        <v>980</v>
      </c>
      <c r="D377" s="421"/>
    </row>
    <row r="378" spans="1:4" x14ac:dyDescent="0.25">
      <c r="A378" s="61"/>
      <c r="B378" s="406" t="s">
        <v>89</v>
      </c>
      <c r="C378" s="260"/>
      <c r="D378" s="421"/>
    </row>
    <row r="379" spans="1:4" x14ac:dyDescent="0.25">
      <c r="A379" s="61">
        <v>1</v>
      </c>
      <c r="B379" s="76" t="s">
        <v>90</v>
      </c>
      <c r="C379" s="260" t="s">
        <v>981</v>
      </c>
      <c r="D379" s="421"/>
    </row>
    <row r="380" spans="1:4" x14ac:dyDescent="0.25">
      <c r="A380" s="61">
        <v>2</v>
      </c>
      <c r="B380" s="76" t="s">
        <v>64</v>
      </c>
      <c r="C380" s="260" t="s">
        <v>982</v>
      </c>
      <c r="D380" s="421"/>
    </row>
    <row r="381" spans="1:4" x14ac:dyDescent="0.25">
      <c r="A381" s="61"/>
      <c r="B381" s="406" t="s">
        <v>91</v>
      </c>
      <c r="C381" s="260"/>
      <c r="D381" s="421"/>
    </row>
    <row r="382" spans="1:4" x14ac:dyDescent="0.25">
      <c r="A382" s="61">
        <v>1</v>
      </c>
      <c r="B382" s="76" t="s">
        <v>92</v>
      </c>
      <c r="C382" s="260" t="s">
        <v>983</v>
      </c>
      <c r="D382" s="421"/>
    </row>
    <row r="383" spans="1:4" x14ac:dyDescent="0.25">
      <c r="A383" s="61">
        <v>2</v>
      </c>
      <c r="B383" s="76" t="s">
        <v>64</v>
      </c>
      <c r="C383" s="260" t="s">
        <v>984</v>
      </c>
      <c r="D383" s="421"/>
    </row>
    <row r="384" spans="1:4" x14ac:dyDescent="0.25">
      <c r="A384" s="61"/>
      <c r="B384" s="406" t="s">
        <v>58</v>
      </c>
      <c r="C384" s="271"/>
      <c r="D384" s="421"/>
    </row>
    <row r="385" spans="1:4" x14ac:dyDescent="0.25">
      <c r="A385" s="61">
        <v>1</v>
      </c>
      <c r="B385" s="76" t="s">
        <v>59</v>
      </c>
      <c r="C385" s="260" t="s">
        <v>985</v>
      </c>
      <c r="D385" s="421"/>
    </row>
    <row r="386" spans="1:4" x14ac:dyDescent="0.25">
      <c r="A386" s="61"/>
      <c r="B386" s="79" t="s">
        <v>148</v>
      </c>
      <c r="C386" s="311"/>
      <c r="D386" s="421"/>
    </row>
    <row r="387" spans="1:4" x14ac:dyDescent="0.25">
      <c r="A387" s="61">
        <v>1</v>
      </c>
      <c r="B387" s="86" t="s">
        <v>149</v>
      </c>
      <c r="C387" s="260" t="s">
        <v>1025</v>
      </c>
      <c r="D387" s="421"/>
    </row>
    <row r="388" spans="1:4" x14ac:dyDescent="0.25">
      <c r="A388" s="61">
        <v>2</v>
      </c>
      <c r="B388" s="86" t="s">
        <v>75</v>
      </c>
      <c r="C388" s="260" t="s">
        <v>1026</v>
      </c>
      <c r="D388" s="421"/>
    </row>
    <row r="389" spans="1:4" x14ac:dyDescent="0.25">
      <c r="A389" s="61">
        <v>3</v>
      </c>
      <c r="B389" s="86" t="s">
        <v>76</v>
      </c>
      <c r="C389" s="260" t="s">
        <v>1027</v>
      </c>
      <c r="D389" s="421"/>
    </row>
    <row r="390" spans="1:4" x14ac:dyDescent="0.25">
      <c r="A390" s="61">
        <v>4</v>
      </c>
      <c r="B390" s="76" t="s">
        <v>32</v>
      </c>
      <c r="C390" s="260" t="s">
        <v>987</v>
      </c>
      <c r="D390" s="421"/>
    </row>
    <row r="391" spans="1:4" x14ac:dyDescent="0.25">
      <c r="A391" s="61">
        <v>5</v>
      </c>
      <c r="B391" s="76" t="s">
        <v>90</v>
      </c>
      <c r="C391" s="260" t="s">
        <v>1337</v>
      </c>
      <c r="D391" s="421"/>
    </row>
    <row r="392" spans="1:4" x14ac:dyDescent="0.25">
      <c r="A392" s="61">
        <v>6</v>
      </c>
      <c r="B392" s="76" t="s">
        <v>92</v>
      </c>
      <c r="C392" s="260" t="s">
        <v>988</v>
      </c>
      <c r="D392" s="421"/>
    </row>
    <row r="393" spans="1:4" x14ac:dyDescent="0.25">
      <c r="A393" s="61">
        <v>7</v>
      </c>
      <c r="B393" s="76" t="s">
        <v>81</v>
      </c>
      <c r="C393" s="260" t="s">
        <v>989</v>
      </c>
      <c r="D393" s="421"/>
    </row>
    <row r="394" spans="1:4" x14ac:dyDescent="0.25">
      <c r="A394" s="61">
        <v>8</v>
      </c>
      <c r="B394" s="76" t="s">
        <v>83</v>
      </c>
      <c r="C394" s="260" t="s">
        <v>990</v>
      </c>
      <c r="D394" s="421"/>
    </row>
    <row r="395" spans="1:4" x14ac:dyDescent="0.25">
      <c r="A395" s="61">
        <v>9</v>
      </c>
      <c r="B395" s="76" t="s">
        <v>85</v>
      </c>
      <c r="C395" s="260" t="s">
        <v>991</v>
      </c>
      <c r="D395" s="421"/>
    </row>
    <row r="396" spans="1:4" x14ac:dyDescent="0.25">
      <c r="A396" s="61">
        <v>10</v>
      </c>
      <c r="B396" s="86" t="s">
        <v>53</v>
      </c>
      <c r="C396" s="260" t="s">
        <v>992</v>
      </c>
      <c r="D396" s="421"/>
    </row>
    <row r="397" spans="1:4" x14ac:dyDescent="0.25">
      <c r="A397" s="61">
        <v>11</v>
      </c>
      <c r="B397" s="76" t="s">
        <v>64</v>
      </c>
      <c r="C397" s="260" t="s">
        <v>1028</v>
      </c>
      <c r="D397" s="421"/>
    </row>
    <row r="398" spans="1:4" x14ac:dyDescent="0.25">
      <c r="A398" s="61">
        <v>12</v>
      </c>
      <c r="B398" s="76" t="s">
        <v>663</v>
      </c>
      <c r="C398" s="223" t="s">
        <v>1337</v>
      </c>
      <c r="D398" s="421"/>
    </row>
    <row r="399" spans="1:4" x14ac:dyDescent="0.25">
      <c r="A399" s="61">
        <v>13</v>
      </c>
      <c r="B399" s="76" t="s">
        <v>86</v>
      </c>
      <c r="C399" s="260" t="s">
        <v>1029</v>
      </c>
      <c r="D399" s="421"/>
    </row>
    <row r="400" spans="1:4" x14ac:dyDescent="0.25">
      <c r="A400" s="61"/>
      <c r="B400" s="163" t="s">
        <v>525</v>
      </c>
      <c r="C400" s="447"/>
      <c r="D400" s="421"/>
    </row>
    <row r="401" spans="1:4" x14ac:dyDescent="0.25">
      <c r="A401" s="61">
        <v>1</v>
      </c>
      <c r="B401" s="103" t="s">
        <v>526</v>
      </c>
      <c r="C401" s="260" t="s">
        <v>1117</v>
      </c>
      <c r="D401" s="421"/>
    </row>
    <row r="402" spans="1:4" x14ac:dyDescent="0.25">
      <c r="A402" s="61">
        <v>2</v>
      </c>
      <c r="B402" s="86" t="s">
        <v>527</v>
      </c>
      <c r="C402" s="260" t="s">
        <v>1118</v>
      </c>
      <c r="D402" s="421"/>
    </row>
    <row r="403" spans="1:4" x14ac:dyDescent="0.25">
      <c r="A403" s="61">
        <v>3</v>
      </c>
      <c r="B403" s="76" t="s">
        <v>64</v>
      </c>
      <c r="C403" s="260" t="s">
        <v>1119</v>
      </c>
      <c r="D403" s="421"/>
    </row>
    <row r="404" spans="1:4" x14ac:dyDescent="0.25">
      <c r="A404" s="61"/>
      <c r="B404" s="166" t="s">
        <v>155</v>
      </c>
      <c r="C404" s="260"/>
      <c r="D404" s="421"/>
    </row>
    <row r="405" spans="1:4" x14ac:dyDescent="0.25">
      <c r="A405" s="61">
        <v>1</v>
      </c>
      <c r="B405" s="201" t="s">
        <v>32</v>
      </c>
      <c r="C405" s="260" t="s">
        <v>1120</v>
      </c>
      <c r="D405" s="421"/>
    </row>
    <row r="406" spans="1:4" x14ac:dyDescent="0.25">
      <c r="A406" s="61">
        <v>2</v>
      </c>
      <c r="B406" s="76" t="s">
        <v>94</v>
      </c>
      <c r="C406" s="260" t="s">
        <v>1121</v>
      </c>
      <c r="D406" s="421"/>
    </row>
    <row r="407" spans="1:4" x14ac:dyDescent="0.25">
      <c r="A407" s="61">
        <v>3</v>
      </c>
      <c r="B407" s="76" t="s">
        <v>45</v>
      </c>
      <c r="C407" s="223"/>
      <c r="D407" s="421"/>
    </row>
    <row r="408" spans="1:4" x14ac:dyDescent="0.25">
      <c r="A408" s="61"/>
      <c r="B408" s="406" t="s">
        <v>93</v>
      </c>
      <c r="C408" s="260"/>
      <c r="D408" s="421"/>
    </row>
    <row r="409" spans="1:4" x14ac:dyDescent="0.25">
      <c r="A409" s="61">
        <v>1</v>
      </c>
      <c r="B409" s="76" t="s">
        <v>94</v>
      </c>
      <c r="C409" s="260" t="s">
        <v>1030</v>
      </c>
      <c r="D409" s="421"/>
    </row>
    <row r="410" spans="1:4" x14ac:dyDescent="0.25">
      <c r="A410" s="61">
        <v>2</v>
      </c>
      <c r="B410" s="76" t="s">
        <v>45</v>
      </c>
      <c r="C410" s="260" t="s">
        <v>1031</v>
      </c>
      <c r="D410" s="421"/>
    </row>
    <row r="411" spans="1:4" x14ac:dyDescent="0.25">
      <c r="A411" s="61"/>
      <c r="B411" s="406" t="s">
        <v>95</v>
      </c>
      <c r="C411" s="260"/>
      <c r="D411" s="427"/>
    </row>
    <row r="412" spans="1:4" x14ac:dyDescent="0.25">
      <c r="A412" s="61">
        <v>1</v>
      </c>
      <c r="B412" s="76" t="s">
        <v>475</v>
      </c>
      <c r="C412" s="260"/>
      <c r="D412" s="427"/>
    </row>
    <row r="413" spans="1:4" x14ac:dyDescent="0.25">
      <c r="A413" s="61">
        <v>2</v>
      </c>
      <c r="B413" s="76" t="s">
        <v>476</v>
      </c>
      <c r="C413" s="260"/>
      <c r="D413" s="432" t="s">
        <v>1033</v>
      </c>
    </row>
    <row r="414" spans="1:4" x14ac:dyDescent="0.25">
      <c r="A414" s="61">
        <v>3</v>
      </c>
      <c r="B414" s="76" t="s">
        <v>478</v>
      </c>
      <c r="C414" s="260" t="s">
        <v>1032</v>
      </c>
      <c r="D414" s="421"/>
    </row>
    <row r="415" spans="1:4" x14ac:dyDescent="0.25">
      <c r="A415" s="61"/>
      <c r="B415" s="406" t="s">
        <v>97</v>
      </c>
      <c r="C415" s="271"/>
      <c r="D415" s="421"/>
    </row>
    <row r="416" spans="1:4" x14ac:dyDescent="0.25">
      <c r="A416" s="61">
        <v>1</v>
      </c>
      <c r="B416" s="86" t="s">
        <v>253</v>
      </c>
      <c r="C416" s="223" t="s">
        <v>1337</v>
      </c>
      <c r="D416" s="421"/>
    </row>
    <row r="417" spans="1:5" x14ac:dyDescent="0.25">
      <c r="A417" s="61">
        <v>2</v>
      </c>
      <c r="B417" s="86" t="s">
        <v>653</v>
      </c>
      <c r="C417" s="223" t="s">
        <v>1337</v>
      </c>
      <c r="D417" s="421"/>
    </row>
    <row r="418" spans="1:5" x14ac:dyDescent="0.25">
      <c r="A418" s="61">
        <v>3</v>
      </c>
      <c r="B418" s="86" t="s">
        <v>106</v>
      </c>
      <c r="C418" s="223" t="s">
        <v>1337</v>
      </c>
      <c r="D418" s="421"/>
    </row>
    <row r="419" spans="1:5" ht="20.25" x14ac:dyDescent="0.3">
      <c r="A419" s="61"/>
      <c r="B419" s="209" t="s">
        <v>161</v>
      </c>
      <c r="C419" s="448"/>
      <c r="D419" s="421"/>
    </row>
    <row r="420" spans="1:5" x14ac:dyDescent="0.25">
      <c r="A420" s="60"/>
      <c r="B420" s="90" t="s">
        <v>39</v>
      </c>
      <c r="C420" s="311"/>
      <c r="D420" s="421"/>
    </row>
    <row r="421" spans="1:5" x14ac:dyDescent="0.25">
      <c r="A421" s="61" t="s">
        <v>61</v>
      </c>
      <c r="B421" s="60" t="s">
        <v>162</v>
      </c>
      <c r="C421" s="260" t="s">
        <v>1164</v>
      </c>
      <c r="D421" s="421"/>
    </row>
    <row r="422" spans="1:5" x14ac:dyDescent="0.25">
      <c r="A422" s="61" t="s">
        <v>63</v>
      </c>
      <c r="B422" s="60" t="s">
        <v>53</v>
      </c>
      <c r="C422" s="260" t="s">
        <v>1165</v>
      </c>
      <c r="D422" s="421"/>
    </row>
    <row r="423" spans="1:5" x14ac:dyDescent="0.25">
      <c r="A423" s="61" t="s">
        <v>163</v>
      </c>
      <c r="B423" s="60" t="s">
        <v>164</v>
      </c>
      <c r="C423" s="260"/>
      <c r="D423" s="412" t="s">
        <v>1190</v>
      </c>
    </row>
    <row r="424" spans="1:5" ht="26.25" x14ac:dyDescent="0.25">
      <c r="A424" s="61" t="s">
        <v>165</v>
      </c>
      <c r="B424" s="60" t="s">
        <v>45</v>
      </c>
      <c r="C424" s="260"/>
      <c r="D424" s="432" t="s">
        <v>1325</v>
      </c>
      <c r="E424" s="404"/>
    </row>
    <row r="425" spans="1:5" x14ac:dyDescent="0.25">
      <c r="A425" s="61">
        <v>5</v>
      </c>
      <c r="B425" s="60" t="s">
        <v>35</v>
      </c>
      <c r="C425" s="260" t="s">
        <v>1166</v>
      </c>
      <c r="D425" s="421"/>
    </row>
    <row r="426" spans="1:5" x14ac:dyDescent="0.25">
      <c r="A426" s="61"/>
      <c r="B426" s="406" t="s">
        <v>77</v>
      </c>
      <c r="C426" s="260"/>
      <c r="D426" s="421"/>
    </row>
    <row r="427" spans="1:5" x14ac:dyDescent="0.25">
      <c r="A427" s="61" t="s">
        <v>61</v>
      </c>
      <c r="B427" s="60" t="s">
        <v>32</v>
      </c>
      <c r="C427" s="260" t="s">
        <v>1167</v>
      </c>
      <c r="D427" s="421"/>
    </row>
    <row r="428" spans="1:5" x14ac:dyDescent="0.25">
      <c r="A428" s="61" t="s">
        <v>63</v>
      </c>
      <c r="B428" s="60" t="s">
        <v>64</v>
      </c>
      <c r="C428" s="260" t="s">
        <v>1168</v>
      </c>
      <c r="D428" s="421"/>
    </row>
    <row r="429" spans="1:5" x14ac:dyDescent="0.25">
      <c r="A429" s="61" t="s">
        <v>163</v>
      </c>
      <c r="B429" s="60" t="s">
        <v>45</v>
      </c>
      <c r="C429" s="260"/>
      <c r="D429" s="421"/>
    </row>
    <row r="430" spans="1:5" x14ac:dyDescent="0.25">
      <c r="A430" s="61"/>
      <c r="B430" s="406" t="s">
        <v>166</v>
      </c>
      <c r="C430" s="311"/>
      <c r="D430" s="421"/>
    </row>
    <row r="431" spans="1:5" x14ac:dyDescent="0.25">
      <c r="A431" s="61" t="s">
        <v>61</v>
      </c>
      <c r="B431" s="60" t="s">
        <v>167</v>
      </c>
      <c r="C431" s="260" t="s">
        <v>1169</v>
      </c>
      <c r="D431" s="421"/>
    </row>
    <row r="432" spans="1:5" x14ac:dyDescent="0.25">
      <c r="A432" s="61" t="s">
        <v>63</v>
      </c>
      <c r="B432" s="60" t="s">
        <v>168</v>
      </c>
      <c r="C432" s="260" t="s">
        <v>1170</v>
      </c>
      <c r="D432" s="421"/>
    </row>
    <row r="433" spans="1:4" x14ac:dyDescent="0.25">
      <c r="A433" s="61" t="s">
        <v>163</v>
      </c>
      <c r="B433" s="60" t="s">
        <v>68</v>
      </c>
      <c r="C433" s="260" t="s">
        <v>1171</v>
      </c>
      <c r="D433" s="421"/>
    </row>
    <row r="434" spans="1:4" x14ac:dyDescent="0.25">
      <c r="A434" s="61" t="s">
        <v>165</v>
      </c>
      <c r="B434" s="60" t="s">
        <v>64</v>
      </c>
      <c r="C434" s="260" t="s">
        <v>1172</v>
      </c>
      <c r="D434" s="421"/>
    </row>
    <row r="435" spans="1:4" x14ac:dyDescent="0.25">
      <c r="A435" s="61">
        <v>5</v>
      </c>
      <c r="B435" s="60" t="s">
        <v>45</v>
      </c>
      <c r="C435" s="260"/>
      <c r="D435" s="421"/>
    </row>
    <row r="436" spans="1:4" x14ac:dyDescent="0.25">
      <c r="A436" s="61"/>
      <c r="B436" s="90" t="s">
        <v>169</v>
      </c>
      <c r="C436" s="260"/>
      <c r="D436" s="421"/>
    </row>
    <row r="437" spans="1:4" x14ac:dyDescent="0.25">
      <c r="A437" s="61" t="s">
        <v>61</v>
      </c>
      <c r="B437" s="60" t="s">
        <v>170</v>
      </c>
      <c r="C437" s="260" t="s">
        <v>1174</v>
      </c>
      <c r="D437" s="421"/>
    </row>
    <row r="438" spans="1:4" x14ac:dyDescent="0.25">
      <c r="A438" s="61" t="s">
        <v>63</v>
      </c>
      <c r="B438" s="60" t="s">
        <v>171</v>
      </c>
      <c r="C438" s="260" t="s">
        <v>1176</v>
      </c>
      <c r="D438" s="421"/>
    </row>
    <row r="439" spans="1:4" x14ac:dyDescent="0.25">
      <c r="A439" s="61" t="s">
        <v>163</v>
      </c>
      <c r="B439" s="60" t="s">
        <v>56</v>
      </c>
      <c r="C439" s="260" t="s">
        <v>1177</v>
      </c>
      <c r="D439" s="421"/>
    </row>
    <row r="440" spans="1:4" x14ac:dyDescent="0.25">
      <c r="A440" s="61" t="s">
        <v>165</v>
      </c>
      <c r="B440" s="60" t="s">
        <v>75</v>
      </c>
      <c r="C440" s="260" t="s">
        <v>1173</v>
      </c>
      <c r="D440" s="421"/>
    </row>
    <row r="441" spans="1:4" x14ac:dyDescent="0.25">
      <c r="A441" s="61" t="s">
        <v>172</v>
      </c>
      <c r="B441" s="60" t="s">
        <v>173</v>
      </c>
      <c r="C441" s="260" t="s">
        <v>1175</v>
      </c>
      <c r="D441" s="421"/>
    </row>
    <row r="442" spans="1:4" x14ac:dyDescent="0.25">
      <c r="A442" s="61">
        <v>6</v>
      </c>
      <c r="B442" s="60" t="s">
        <v>64</v>
      </c>
      <c r="C442" s="260" t="s">
        <v>1178</v>
      </c>
      <c r="D442" s="421"/>
    </row>
    <row r="443" spans="1:4" x14ac:dyDescent="0.25">
      <c r="A443" s="61">
        <v>7</v>
      </c>
      <c r="B443" s="60" t="s">
        <v>45</v>
      </c>
      <c r="C443" s="260"/>
      <c r="D443" s="421"/>
    </row>
    <row r="444" spans="1:4" x14ac:dyDescent="0.25">
      <c r="A444" s="61"/>
      <c r="B444" s="406" t="s">
        <v>84</v>
      </c>
      <c r="C444" s="311"/>
      <c r="D444" s="421"/>
    </row>
    <row r="445" spans="1:4" x14ac:dyDescent="0.25">
      <c r="A445" s="61" t="s">
        <v>61</v>
      </c>
      <c r="B445" s="60" t="s">
        <v>174</v>
      </c>
      <c r="C445" s="260" t="s">
        <v>1179</v>
      </c>
      <c r="D445" s="421"/>
    </row>
    <row r="446" spans="1:4" x14ac:dyDescent="0.25">
      <c r="A446" s="61" t="s">
        <v>63</v>
      </c>
      <c r="B446" s="60" t="s">
        <v>86</v>
      </c>
      <c r="C446" s="260" t="s">
        <v>1180</v>
      </c>
      <c r="D446" s="421"/>
    </row>
    <row r="447" spans="1:4" x14ac:dyDescent="0.25">
      <c r="A447" s="61" t="s">
        <v>163</v>
      </c>
      <c r="B447" s="60" t="s">
        <v>45</v>
      </c>
      <c r="C447" s="260"/>
      <c r="D447" s="421"/>
    </row>
    <row r="448" spans="1:4" x14ac:dyDescent="0.25">
      <c r="A448" s="61"/>
      <c r="B448" s="406" t="s">
        <v>93</v>
      </c>
      <c r="C448" s="311"/>
      <c r="D448" s="421"/>
    </row>
    <row r="449" spans="1:4" x14ac:dyDescent="0.25">
      <c r="A449" s="61" t="s">
        <v>61</v>
      </c>
      <c r="B449" s="60" t="s">
        <v>94</v>
      </c>
      <c r="C449" s="260" t="s">
        <v>1181</v>
      </c>
      <c r="D449" s="421"/>
    </row>
    <row r="450" spans="1:4" x14ac:dyDescent="0.25">
      <c r="A450" s="61" t="s">
        <v>63</v>
      </c>
      <c r="B450" s="60" t="s">
        <v>45</v>
      </c>
      <c r="C450" s="260" t="s">
        <v>1337</v>
      </c>
      <c r="D450" s="421"/>
    </row>
    <row r="451" spans="1:4" s="336" customFormat="1" x14ac:dyDescent="0.25">
      <c r="A451" s="340"/>
      <c r="B451" s="351" t="s">
        <v>95</v>
      </c>
      <c r="C451" s="385"/>
      <c r="D451" s="422"/>
    </row>
    <row r="452" spans="1:4" s="336" customFormat="1" x14ac:dyDescent="0.25">
      <c r="A452" s="340" t="s">
        <v>61</v>
      </c>
      <c r="B452" s="355" t="s">
        <v>96</v>
      </c>
      <c r="C452" s="385" t="s">
        <v>1182</v>
      </c>
      <c r="D452" s="422"/>
    </row>
    <row r="453" spans="1:4" s="336" customFormat="1" x14ac:dyDescent="0.25">
      <c r="A453" s="355"/>
      <c r="B453" s="363" t="s">
        <v>175</v>
      </c>
      <c r="C453" s="385"/>
      <c r="D453" s="422"/>
    </row>
    <row r="454" spans="1:4" s="336" customFormat="1" x14ac:dyDescent="0.25">
      <c r="A454" s="340">
        <v>1</v>
      </c>
      <c r="B454" s="357" t="s">
        <v>104</v>
      </c>
      <c r="C454" s="385" t="s">
        <v>1183</v>
      </c>
      <c r="D454" s="422"/>
    </row>
    <row r="455" spans="1:4" s="336" customFormat="1" x14ac:dyDescent="0.25">
      <c r="A455" s="340">
        <v>1</v>
      </c>
      <c r="B455" s="353" t="s">
        <v>253</v>
      </c>
      <c r="C455" s="385" t="s">
        <v>1184</v>
      </c>
      <c r="D455" s="422"/>
    </row>
    <row r="456" spans="1:4" s="336" customFormat="1" x14ac:dyDescent="0.25">
      <c r="A456" s="340">
        <v>2</v>
      </c>
      <c r="B456" s="353" t="s">
        <v>653</v>
      </c>
      <c r="C456" s="385" t="s">
        <v>1185</v>
      </c>
      <c r="D456" s="422"/>
    </row>
    <row r="457" spans="1:4" s="336" customFormat="1" x14ac:dyDescent="0.25">
      <c r="A457" s="340"/>
      <c r="B457" s="353"/>
      <c r="C457" s="385"/>
      <c r="D457" s="422"/>
    </row>
    <row r="458" spans="1:4" s="336" customFormat="1" ht="15.75" x14ac:dyDescent="0.25">
      <c r="A458" s="340"/>
      <c r="B458" s="383" t="s">
        <v>180</v>
      </c>
      <c r="C458" s="449"/>
      <c r="D458" s="422"/>
    </row>
    <row r="459" spans="1:4" s="336" customFormat="1" x14ac:dyDescent="0.25">
      <c r="A459" s="340">
        <v>1</v>
      </c>
      <c r="B459" s="353" t="s">
        <v>181</v>
      </c>
      <c r="C459" s="338" t="s">
        <v>1129</v>
      </c>
      <c r="D459" s="422"/>
    </row>
    <row r="460" spans="1:4" s="336" customFormat="1" x14ac:dyDescent="0.25">
      <c r="A460" s="340">
        <v>2</v>
      </c>
      <c r="B460" s="353" t="s">
        <v>83</v>
      </c>
      <c r="C460" s="338" t="s">
        <v>1130</v>
      </c>
      <c r="D460" s="422"/>
    </row>
    <row r="461" spans="1:4" s="336" customFormat="1" x14ac:dyDescent="0.25">
      <c r="A461" s="340">
        <v>3</v>
      </c>
      <c r="B461" s="353" t="s">
        <v>32</v>
      </c>
      <c r="C461" s="338" t="s">
        <v>1131</v>
      </c>
      <c r="D461" s="422"/>
    </row>
    <row r="462" spans="1:4" s="336" customFormat="1" x14ac:dyDescent="0.25">
      <c r="A462" s="340">
        <v>4</v>
      </c>
      <c r="B462" s="353" t="s">
        <v>145</v>
      </c>
      <c r="C462" s="338" t="s">
        <v>1132</v>
      </c>
      <c r="D462" s="422"/>
    </row>
    <row r="463" spans="1:4" s="336" customFormat="1" x14ac:dyDescent="0.25">
      <c r="A463" s="340">
        <v>5</v>
      </c>
      <c r="B463" s="353" t="s">
        <v>182</v>
      </c>
      <c r="C463" s="338" t="s">
        <v>1133</v>
      </c>
      <c r="D463" s="422"/>
    </row>
    <row r="464" spans="1:4" s="336" customFormat="1" x14ac:dyDescent="0.25">
      <c r="A464" s="340">
        <v>6</v>
      </c>
      <c r="B464" s="353" t="s">
        <v>64</v>
      </c>
      <c r="C464" s="338" t="s">
        <v>1134</v>
      </c>
      <c r="D464" s="422"/>
    </row>
    <row r="465" spans="1:4" s="336" customFormat="1" ht="15.75" x14ac:dyDescent="0.25">
      <c r="A465" s="379" t="s">
        <v>579</v>
      </c>
      <c r="B465" s="380"/>
      <c r="C465" s="450"/>
      <c r="D465" s="422"/>
    </row>
    <row r="466" spans="1:4" s="336" customFormat="1" x14ac:dyDescent="0.25">
      <c r="A466" s="334"/>
      <c r="B466" s="381" t="s">
        <v>185</v>
      </c>
      <c r="C466" s="338"/>
      <c r="D466" s="422"/>
    </row>
    <row r="467" spans="1:4" s="336" customFormat="1" ht="15.75" x14ac:dyDescent="0.25">
      <c r="A467" s="382">
        <v>1</v>
      </c>
      <c r="B467" s="376" t="s">
        <v>186</v>
      </c>
      <c r="C467" s="338" t="s">
        <v>1135</v>
      </c>
      <c r="D467" s="422"/>
    </row>
    <row r="468" spans="1:4" s="336" customFormat="1" ht="25.5" x14ac:dyDescent="0.25">
      <c r="A468" s="382">
        <v>2</v>
      </c>
      <c r="B468" s="376" t="s">
        <v>656</v>
      </c>
      <c r="C468" s="338" t="s">
        <v>1136</v>
      </c>
      <c r="D468" s="422"/>
    </row>
    <row r="469" spans="1:4" s="336" customFormat="1" x14ac:dyDescent="0.25">
      <c r="A469" s="375">
        <v>3</v>
      </c>
      <c r="B469" s="376" t="s">
        <v>188</v>
      </c>
      <c r="C469" s="338" t="s">
        <v>1137</v>
      </c>
      <c r="D469" s="422"/>
    </row>
    <row r="470" spans="1:4" s="336" customFormat="1" x14ac:dyDescent="0.25">
      <c r="A470" s="375">
        <v>4</v>
      </c>
      <c r="B470" s="376" t="s">
        <v>44</v>
      </c>
      <c r="C470" s="338" t="s">
        <v>1138</v>
      </c>
      <c r="D470" s="422"/>
    </row>
    <row r="471" spans="1:4" x14ac:dyDescent="0.25">
      <c r="A471" s="111">
        <v>5</v>
      </c>
      <c r="B471" s="226" t="s">
        <v>189</v>
      </c>
      <c r="C471" s="113"/>
      <c r="D471" s="421"/>
    </row>
    <row r="472" spans="1:4" s="336" customFormat="1" x14ac:dyDescent="0.25">
      <c r="A472" s="692" t="s">
        <v>191</v>
      </c>
      <c r="B472" s="692"/>
      <c r="C472" s="692"/>
      <c r="D472" s="422"/>
    </row>
    <row r="473" spans="1:4" s="336" customFormat="1" ht="25.5" x14ac:dyDescent="0.25">
      <c r="A473" s="375">
        <v>1</v>
      </c>
      <c r="B473" s="376" t="s">
        <v>192</v>
      </c>
      <c r="C473" s="338" t="s">
        <v>1139</v>
      </c>
      <c r="D473" s="422"/>
    </row>
    <row r="474" spans="1:4" s="336" customFormat="1" x14ac:dyDescent="0.25">
      <c r="A474" s="375">
        <v>2</v>
      </c>
      <c r="B474" s="376" t="s">
        <v>193</v>
      </c>
      <c r="C474" s="338" t="s">
        <v>1140</v>
      </c>
      <c r="D474" s="422"/>
    </row>
    <row r="475" spans="1:4" s="336" customFormat="1" x14ac:dyDescent="0.25">
      <c r="A475" s="375">
        <v>3</v>
      </c>
      <c r="B475" s="376" t="s">
        <v>188</v>
      </c>
      <c r="C475" s="338" t="s">
        <v>1141</v>
      </c>
      <c r="D475" s="422"/>
    </row>
    <row r="476" spans="1:4" s="336" customFormat="1" ht="38.25" x14ac:dyDescent="0.25">
      <c r="A476" s="375">
        <v>4</v>
      </c>
      <c r="B476" s="376" t="s">
        <v>194</v>
      </c>
      <c r="C476" s="338" t="s">
        <v>1142</v>
      </c>
      <c r="D476" s="422"/>
    </row>
    <row r="477" spans="1:4" s="336" customFormat="1" x14ac:dyDescent="0.25">
      <c r="A477" s="375"/>
      <c r="B477" s="377" t="s">
        <v>657</v>
      </c>
      <c r="C477" s="411"/>
      <c r="D477" s="422"/>
    </row>
    <row r="478" spans="1:4" s="336" customFormat="1" x14ac:dyDescent="0.25">
      <c r="A478" s="369">
        <v>5</v>
      </c>
      <c r="B478" s="378" t="s">
        <v>196</v>
      </c>
      <c r="C478" s="338" t="s">
        <v>1143</v>
      </c>
      <c r="D478" s="422"/>
    </row>
    <row r="479" spans="1:4" s="336" customFormat="1" x14ac:dyDescent="0.25">
      <c r="A479" s="375">
        <v>6</v>
      </c>
      <c r="B479" s="376" t="s">
        <v>197</v>
      </c>
      <c r="C479" s="338" t="s">
        <v>1144</v>
      </c>
      <c r="D479" s="422"/>
    </row>
    <row r="480" spans="1:4" s="336" customFormat="1" x14ac:dyDescent="0.25">
      <c r="A480" s="375">
        <v>7</v>
      </c>
      <c r="B480" s="376" t="s">
        <v>198</v>
      </c>
      <c r="C480" s="338" t="s">
        <v>1145</v>
      </c>
      <c r="D480" s="422"/>
    </row>
    <row r="481" spans="1:4" s="336" customFormat="1" x14ac:dyDescent="0.25">
      <c r="A481" s="375">
        <v>8</v>
      </c>
      <c r="B481" s="376" t="s">
        <v>64</v>
      </c>
      <c r="C481" s="338" t="s">
        <v>1146</v>
      </c>
      <c r="D481" s="422"/>
    </row>
    <row r="482" spans="1:4" s="336" customFormat="1" x14ac:dyDescent="0.25">
      <c r="A482" s="375">
        <v>9</v>
      </c>
      <c r="B482" s="376" t="s">
        <v>45</v>
      </c>
      <c r="C482" s="338" t="s">
        <v>1147</v>
      </c>
      <c r="D482" s="422"/>
    </row>
    <row r="483" spans="1:4" s="336" customFormat="1" x14ac:dyDescent="0.25">
      <c r="A483" s="375">
        <v>10</v>
      </c>
      <c r="B483" s="376" t="s">
        <v>199</v>
      </c>
      <c r="C483" s="338" t="s">
        <v>1148</v>
      </c>
      <c r="D483" s="422"/>
    </row>
    <row r="484" spans="1:4" s="336" customFormat="1" ht="15.75" x14ac:dyDescent="0.25">
      <c r="A484" s="340"/>
      <c r="B484" s="366" t="s">
        <v>581</v>
      </c>
      <c r="C484" s="338"/>
      <c r="D484" s="422"/>
    </row>
    <row r="485" spans="1:4" s="336" customFormat="1" x14ac:dyDescent="0.25">
      <c r="A485" s="340"/>
      <c r="B485" s="367" t="s">
        <v>15</v>
      </c>
      <c r="C485" s="451"/>
      <c r="D485" s="422"/>
    </row>
    <row r="486" spans="1:4" s="336" customFormat="1" ht="26.25" x14ac:dyDescent="0.25">
      <c r="A486" s="340">
        <v>1</v>
      </c>
      <c r="B486" s="349" t="s">
        <v>206</v>
      </c>
      <c r="C486" s="452"/>
      <c r="D486" s="423" t="s">
        <v>1311</v>
      </c>
    </row>
    <row r="487" spans="1:4" s="336" customFormat="1" x14ac:dyDescent="0.25">
      <c r="A487" s="340">
        <v>2</v>
      </c>
      <c r="B487" s="349" t="s">
        <v>207</v>
      </c>
      <c r="C487" s="338" t="s">
        <v>775</v>
      </c>
      <c r="D487" s="422"/>
    </row>
    <row r="488" spans="1:4" s="336" customFormat="1" x14ac:dyDescent="0.25">
      <c r="A488" s="340">
        <v>3</v>
      </c>
      <c r="B488" s="335" t="s">
        <v>56</v>
      </c>
      <c r="C488" s="338" t="s">
        <v>776</v>
      </c>
      <c r="D488" s="422"/>
    </row>
    <row r="489" spans="1:4" x14ac:dyDescent="0.25">
      <c r="A489" s="61">
        <v>4</v>
      </c>
      <c r="B489" s="65" t="s">
        <v>66</v>
      </c>
      <c r="C489" s="331"/>
      <c r="D489" s="421"/>
    </row>
    <row r="490" spans="1:4" s="336" customFormat="1" x14ac:dyDescent="0.25">
      <c r="A490" s="340">
        <v>5</v>
      </c>
      <c r="B490" s="335" t="s">
        <v>43</v>
      </c>
      <c r="C490" s="338" t="s">
        <v>777</v>
      </c>
      <c r="D490" s="422"/>
    </row>
    <row r="491" spans="1:4" s="336" customFormat="1" x14ac:dyDescent="0.25">
      <c r="A491" s="340">
        <v>6</v>
      </c>
      <c r="B491" s="350" t="s">
        <v>208</v>
      </c>
      <c r="C491" s="338" t="s">
        <v>778</v>
      </c>
      <c r="D491" s="422"/>
    </row>
    <row r="492" spans="1:4" s="336" customFormat="1" x14ac:dyDescent="0.25">
      <c r="A492" s="340"/>
      <c r="B492" s="351" t="s">
        <v>46</v>
      </c>
      <c r="C492" s="453"/>
      <c r="D492" s="422"/>
    </row>
    <row r="493" spans="1:4" s="336" customFormat="1" x14ac:dyDescent="0.25">
      <c r="A493" s="352">
        <v>1</v>
      </c>
      <c r="B493" s="335" t="s">
        <v>24</v>
      </c>
      <c r="C493" s="338" t="s">
        <v>779</v>
      </c>
      <c r="D493" s="422"/>
    </row>
    <row r="494" spans="1:4" s="336" customFormat="1" x14ac:dyDescent="0.25">
      <c r="A494" s="340"/>
      <c r="B494" s="351" t="s">
        <v>136</v>
      </c>
      <c r="C494" s="454"/>
      <c r="D494" s="422"/>
    </row>
    <row r="495" spans="1:4" s="336" customFormat="1" x14ac:dyDescent="0.25">
      <c r="A495" s="334">
        <v>1</v>
      </c>
      <c r="B495" s="350" t="s">
        <v>209</v>
      </c>
      <c r="C495" s="338" t="s">
        <v>780</v>
      </c>
      <c r="D495" s="422"/>
    </row>
    <row r="496" spans="1:4" s="336" customFormat="1" x14ac:dyDescent="0.25">
      <c r="A496" s="334">
        <v>2</v>
      </c>
      <c r="B496" s="350" t="s">
        <v>32</v>
      </c>
      <c r="C496" s="338" t="s">
        <v>814</v>
      </c>
      <c r="D496" s="422"/>
    </row>
    <row r="497" spans="1:4" s="336" customFormat="1" x14ac:dyDescent="0.25">
      <c r="A497" s="340">
        <v>3</v>
      </c>
      <c r="B497" s="350" t="s">
        <v>70</v>
      </c>
      <c r="C497" s="338"/>
      <c r="D497" s="423" t="s">
        <v>1312</v>
      </c>
    </row>
    <row r="498" spans="1:4" s="336" customFormat="1" x14ac:dyDescent="0.25">
      <c r="A498" s="340">
        <v>4</v>
      </c>
      <c r="B498" s="353" t="s">
        <v>147</v>
      </c>
      <c r="C498" s="338" t="s">
        <v>781</v>
      </c>
      <c r="D498" s="422"/>
    </row>
    <row r="499" spans="1:4" s="336" customFormat="1" x14ac:dyDescent="0.25">
      <c r="A499" s="334">
        <v>5</v>
      </c>
      <c r="B499" s="350" t="s">
        <v>53</v>
      </c>
      <c r="C499" s="338" t="s">
        <v>782</v>
      </c>
      <c r="D499" s="422"/>
    </row>
    <row r="500" spans="1:4" s="336" customFormat="1" x14ac:dyDescent="0.25">
      <c r="A500" s="334">
        <v>6</v>
      </c>
      <c r="B500" s="350" t="s">
        <v>210</v>
      </c>
      <c r="C500" s="338" t="s">
        <v>815</v>
      </c>
      <c r="D500" s="422"/>
    </row>
    <row r="501" spans="1:4" s="336" customFormat="1" x14ac:dyDescent="0.25">
      <c r="A501" s="334">
        <v>7</v>
      </c>
      <c r="B501" s="350" t="s">
        <v>94</v>
      </c>
      <c r="C501" s="338" t="s">
        <v>783</v>
      </c>
      <c r="D501" s="422"/>
    </row>
    <row r="502" spans="1:4" s="336" customFormat="1" x14ac:dyDescent="0.25">
      <c r="A502" s="334">
        <v>8</v>
      </c>
      <c r="B502" s="350" t="s">
        <v>44</v>
      </c>
      <c r="C502" s="338" t="s">
        <v>784</v>
      </c>
      <c r="D502" s="422"/>
    </row>
    <row r="503" spans="1:4" s="336" customFormat="1" x14ac:dyDescent="0.25">
      <c r="A503" s="341">
        <v>9</v>
      </c>
      <c r="B503" s="350" t="s">
        <v>45</v>
      </c>
      <c r="C503" s="338" t="s">
        <v>816</v>
      </c>
      <c r="D503" s="422"/>
    </row>
    <row r="504" spans="1:4" s="336" customFormat="1" x14ac:dyDescent="0.25">
      <c r="A504" s="340"/>
      <c r="B504" s="351" t="s">
        <v>584</v>
      </c>
      <c r="C504" s="453"/>
      <c r="D504" s="422"/>
    </row>
    <row r="505" spans="1:4" s="336" customFormat="1" x14ac:dyDescent="0.25">
      <c r="A505" s="334">
        <v>1</v>
      </c>
      <c r="B505" s="350" t="s">
        <v>209</v>
      </c>
      <c r="C505" s="338" t="s">
        <v>785</v>
      </c>
      <c r="D505" s="422"/>
    </row>
    <row r="506" spans="1:4" s="336" customFormat="1" x14ac:dyDescent="0.25">
      <c r="A506" s="334">
        <v>2</v>
      </c>
      <c r="B506" s="350" t="s">
        <v>32</v>
      </c>
      <c r="C506" s="338" t="s">
        <v>786</v>
      </c>
      <c r="D506" s="422"/>
    </row>
    <row r="507" spans="1:4" s="336" customFormat="1" x14ac:dyDescent="0.25">
      <c r="A507" s="340">
        <v>3</v>
      </c>
      <c r="B507" s="353" t="s">
        <v>70</v>
      </c>
      <c r="C507" s="338" t="s">
        <v>787</v>
      </c>
      <c r="D507" s="422"/>
    </row>
    <row r="508" spans="1:4" s="336" customFormat="1" x14ac:dyDescent="0.25">
      <c r="A508" s="340">
        <v>4</v>
      </c>
      <c r="B508" s="350" t="s">
        <v>53</v>
      </c>
      <c r="C508" s="338" t="s">
        <v>788</v>
      </c>
      <c r="D508" s="422"/>
    </row>
    <row r="509" spans="1:4" s="336" customFormat="1" x14ac:dyDescent="0.25">
      <c r="A509" s="334">
        <v>5</v>
      </c>
      <c r="B509" s="350" t="s">
        <v>210</v>
      </c>
      <c r="C509" s="338" t="s">
        <v>817</v>
      </c>
      <c r="D509" s="422"/>
    </row>
    <row r="510" spans="1:4" s="336" customFormat="1" x14ac:dyDescent="0.25">
      <c r="A510" s="334">
        <v>6</v>
      </c>
      <c r="B510" s="350" t="s">
        <v>44</v>
      </c>
      <c r="C510" s="338" t="s">
        <v>789</v>
      </c>
      <c r="D510" s="422"/>
    </row>
    <row r="511" spans="1:4" s="336" customFormat="1" x14ac:dyDescent="0.25">
      <c r="A511" s="334">
        <v>7</v>
      </c>
      <c r="B511" s="350" t="s">
        <v>45</v>
      </c>
      <c r="C511" s="338" t="s">
        <v>790</v>
      </c>
      <c r="D511" s="422"/>
    </row>
    <row r="512" spans="1:4" s="336" customFormat="1" x14ac:dyDescent="0.25">
      <c r="A512" s="340"/>
      <c r="B512" s="351" t="s">
        <v>585</v>
      </c>
      <c r="C512" s="453"/>
      <c r="D512" s="422"/>
    </row>
    <row r="513" spans="1:4" s="336" customFormat="1" x14ac:dyDescent="0.25">
      <c r="A513" s="340">
        <v>1</v>
      </c>
      <c r="B513" s="350" t="s">
        <v>212</v>
      </c>
      <c r="C513" s="338" t="s">
        <v>791</v>
      </c>
      <c r="D513" s="422"/>
    </row>
    <row r="514" spans="1:4" s="336" customFormat="1" x14ac:dyDescent="0.25">
      <c r="A514" s="334">
        <v>2</v>
      </c>
      <c r="B514" s="350" t="s">
        <v>83</v>
      </c>
      <c r="C514" s="338" t="s">
        <v>792</v>
      </c>
      <c r="D514" s="422"/>
    </row>
    <row r="515" spans="1:4" s="336" customFormat="1" x14ac:dyDescent="0.25">
      <c r="A515" s="340">
        <v>3</v>
      </c>
      <c r="B515" s="350" t="s">
        <v>66</v>
      </c>
      <c r="C515" s="338" t="s">
        <v>818</v>
      </c>
      <c r="D515" s="422"/>
    </row>
    <row r="516" spans="1:4" s="336" customFormat="1" x14ac:dyDescent="0.25">
      <c r="A516" s="340">
        <v>4</v>
      </c>
      <c r="B516" s="350" t="s">
        <v>51</v>
      </c>
      <c r="C516" s="338" t="s">
        <v>793</v>
      </c>
      <c r="D516" s="422"/>
    </row>
    <row r="517" spans="1:4" s="336" customFormat="1" x14ac:dyDescent="0.25">
      <c r="A517" s="340">
        <v>5</v>
      </c>
      <c r="B517" s="350" t="s">
        <v>53</v>
      </c>
      <c r="C517" s="338" t="s">
        <v>794</v>
      </c>
      <c r="D517" s="422"/>
    </row>
    <row r="518" spans="1:4" s="336" customFormat="1" x14ac:dyDescent="0.25">
      <c r="A518" s="340">
        <v>6</v>
      </c>
      <c r="B518" s="350" t="s">
        <v>210</v>
      </c>
      <c r="C518" s="338" t="s">
        <v>819</v>
      </c>
      <c r="D518" s="422"/>
    </row>
    <row r="519" spans="1:4" s="336" customFormat="1" x14ac:dyDescent="0.25">
      <c r="A519" s="340">
        <v>7</v>
      </c>
      <c r="B519" s="350" t="s">
        <v>213</v>
      </c>
      <c r="C519" s="338" t="s">
        <v>795</v>
      </c>
      <c r="D519" s="422"/>
    </row>
    <row r="520" spans="1:4" s="336" customFormat="1" x14ac:dyDescent="0.25">
      <c r="A520" s="340">
        <v>8</v>
      </c>
      <c r="B520" s="350" t="s">
        <v>94</v>
      </c>
      <c r="C520" s="338" t="s">
        <v>796</v>
      </c>
      <c r="D520" s="422"/>
    </row>
    <row r="521" spans="1:4" s="336" customFormat="1" x14ac:dyDescent="0.25">
      <c r="A521" s="340">
        <v>9</v>
      </c>
      <c r="B521" s="350" t="s">
        <v>44</v>
      </c>
      <c r="C521" s="338" t="s">
        <v>797</v>
      </c>
      <c r="D521" s="422"/>
    </row>
    <row r="522" spans="1:4" s="336" customFormat="1" x14ac:dyDescent="0.25">
      <c r="A522" s="340">
        <v>10</v>
      </c>
      <c r="B522" s="350" t="s">
        <v>45</v>
      </c>
      <c r="C522" s="338" t="s">
        <v>820</v>
      </c>
      <c r="D522" s="422"/>
    </row>
    <row r="523" spans="1:4" s="336" customFormat="1" x14ac:dyDescent="0.25">
      <c r="A523" s="354" t="s">
        <v>587</v>
      </c>
      <c r="B523" s="355"/>
      <c r="C523" s="453"/>
      <c r="D523" s="422"/>
    </row>
    <row r="524" spans="1:4" s="336" customFormat="1" x14ac:dyDescent="0.25">
      <c r="A524" s="334">
        <v>1</v>
      </c>
      <c r="B524" s="350" t="s">
        <v>214</v>
      </c>
      <c r="C524" s="338" t="s">
        <v>1202</v>
      </c>
      <c r="D524" s="422"/>
    </row>
    <row r="525" spans="1:4" s="336" customFormat="1" x14ac:dyDescent="0.25">
      <c r="A525" s="334">
        <v>2</v>
      </c>
      <c r="B525" s="350" t="s">
        <v>83</v>
      </c>
      <c r="C525" s="338" t="s">
        <v>1203</v>
      </c>
      <c r="D525" s="422"/>
    </row>
    <row r="526" spans="1:4" s="336" customFormat="1" x14ac:dyDescent="0.25">
      <c r="A526" s="334">
        <v>3</v>
      </c>
      <c r="B526" s="353" t="s">
        <v>66</v>
      </c>
      <c r="C526" s="338" t="s">
        <v>1205</v>
      </c>
      <c r="D526" s="422"/>
    </row>
    <row r="527" spans="1:4" s="336" customFormat="1" x14ac:dyDescent="0.25">
      <c r="A527" s="334">
        <v>4</v>
      </c>
      <c r="B527" s="353" t="s">
        <v>145</v>
      </c>
      <c r="C527" s="338" t="s">
        <v>1204</v>
      </c>
      <c r="D527" s="422"/>
    </row>
    <row r="528" spans="1:4" s="336" customFormat="1" x14ac:dyDescent="0.25">
      <c r="A528" s="334">
        <v>5</v>
      </c>
      <c r="B528" s="353" t="s">
        <v>182</v>
      </c>
      <c r="C528" s="338" t="s">
        <v>1206</v>
      </c>
      <c r="D528" s="422"/>
    </row>
    <row r="529" spans="1:4" s="336" customFormat="1" x14ac:dyDescent="0.25">
      <c r="A529" s="334">
        <v>6</v>
      </c>
      <c r="B529" s="350" t="s">
        <v>53</v>
      </c>
      <c r="C529" s="338" t="s">
        <v>1207</v>
      </c>
      <c r="D529" s="422"/>
    </row>
    <row r="530" spans="1:4" s="336" customFormat="1" x14ac:dyDescent="0.25">
      <c r="A530" s="334">
        <v>7</v>
      </c>
      <c r="B530" s="350" t="s">
        <v>210</v>
      </c>
      <c r="C530" s="338" t="s">
        <v>1208</v>
      </c>
      <c r="D530" s="422"/>
    </row>
    <row r="531" spans="1:4" s="336" customFormat="1" x14ac:dyDescent="0.25">
      <c r="A531" s="334">
        <v>8</v>
      </c>
      <c r="B531" s="350" t="s">
        <v>94</v>
      </c>
      <c r="C531" s="338" t="s">
        <v>1210</v>
      </c>
      <c r="D531" s="422"/>
    </row>
    <row r="532" spans="1:4" s="336" customFormat="1" x14ac:dyDescent="0.25">
      <c r="A532" s="334">
        <v>9</v>
      </c>
      <c r="B532" s="350" t="s">
        <v>213</v>
      </c>
      <c r="C532" s="338" t="s">
        <v>1209</v>
      </c>
      <c r="D532" s="422"/>
    </row>
    <row r="533" spans="1:4" s="336" customFormat="1" x14ac:dyDescent="0.25">
      <c r="A533" s="334">
        <v>10</v>
      </c>
      <c r="B533" s="349" t="s">
        <v>215</v>
      </c>
      <c r="C533" s="338" t="s">
        <v>1211</v>
      </c>
      <c r="D533" s="422"/>
    </row>
    <row r="534" spans="1:4" s="336" customFormat="1" x14ac:dyDescent="0.25">
      <c r="A534" s="334">
        <v>11</v>
      </c>
      <c r="B534" s="350" t="s">
        <v>44</v>
      </c>
      <c r="C534" s="338" t="s">
        <v>1212</v>
      </c>
      <c r="D534" s="422"/>
    </row>
    <row r="535" spans="1:4" s="336" customFormat="1" x14ac:dyDescent="0.25">
      <c r="A535" s="340">
        <v>12</v>
      </c>
      <c r="B535" s="350" t="s">
        <v>45</v>
      </c>
      <c r="C535" s="338" t="s">
        <v>1213</v>
      </c>
      <c r="D535" s="422"/>
    </row>
    <row r="536" spans="1:4" s="336" customFormat="1" x14ac:dyDescent="0.25">
      <c r="A536" s="340"/>
      <c r="B536" s="351" t="s">
        <v>588</v>
      </c>
      <c r="C536" s="356"/>
      <c r="D536" s="422"/>
    </row>
    <row r="537" spans="1:4" s="336" customFormat="1" x14ac:dyDescent="0.25">
      <c r="A537" s="340">
        <v>1</v>
      </c>
      <c r="B537" s="350" t="s">
        <v>216</v>
      </c>
      <c r="C537" s="338" t="s">
        <v>1214</v>
      </c>
      <c r="D537" s="422"/>
    </row>
    <row r="538" spans="1:4" s="336" customFormat="1" x14ac:dyDescent="0.25">
      <c r="A538" s="340">
        <v>2</v>
      </c>
      <c r="B538" s="350" t="s">
        <v>68</v>
      </c>
      <c r="C538" s="338" t="s">
        <v>1215</v>
      </c>
      <c r="D538" s="422"/>
    </row>
    <row r="539" spans="1:4" s="336" customFormat="1" x14ac:dyDescent="0.25">
      <c r="A539" s="340">
        <v>3</v>
      </c>
      <c r="B539" s="350" t="s">
        <v>53</v>
      </c>
      <c r="C539" s="338" t="s">
        <v>1216</v>
      </c>
      <c r="D539" s="422"/>
    </row>
    <row r="540" spans="1:4" s="336" customFormat="1" x14ac:dyDescent="0.25">
      <c r="A540" s="340">
        <v>4</v>
      </c>
      <c r="B540" s="350" t="s">
        <v>210</v>
      </c>
      <c r="C540" s="338" t="s">
        <v>1217</v>
      </c>
      <c r="D540" s="422"/>
    </row>
    <row r="541" spans="1:4" s="336" customFormat="1" x14ac:dyDescent="0.25">
      <c r="A541" s="340">
        <v>5</v>
      </c>
      <c r="B541" s="350" t="s">
        <v>94</v>
      </c>
      <c r="C541" s="338" t="s">
        <v>1219</v>
      </c>
      <c r="D541" s="422"/>
    </row>
    <row r="542" spans="1:4" s="336" customFormat="1" x14ac:dyDescent="0.25">
      <c r="A542" s="340">
        <v>6</v>
      </c>
      <c r="B542" s="350" t="s">
        <v>213</v>
      </c>
      <c r="C542" s="338" t="s">
        <v>1218</v>
      </c>
      <c r="D542" s="422"/>
    </row>
    <row r="543" spans="1:4" s="336" customFormat="1" x14ac:dyDescent="0.25">
      <c r="A543" s="340">
        <v>7</v>
      </c>
      <c r="B543" s="350" t="s">
        <v>44</v>
      </c>
      <c r="C543" s="338" t="s">
        <v>1220</v>
      </c>
      <c r="D543" s="422"/>
    </row>
    <row r="544" spans="1:4" s="336" customFormat="1" x14ac:dyDescent="0.25">
      <c r="A544" s="340">
        <v>8</v>
      </c>
      <c r="B544" s="350" t="s">
        <v>45</v>
      </c>
      <c r="C544" s="338" t="s">
        <v>1221</v>
      </c>
      <c r="D544" s="422"/>
    </row>
    <row r="545" spans="1:4" s="336" customFormat="1" x14ac:dyDescent="0.25">
      <c r="A545" s="340"/>
      <c r="B545" s="351" t="s">
        <v>590</v>
      </c>
      <c r="C545" s="385"/>
      <c r="D545" s="422"/>
    </row>
    <row r="546" spans="1:4" s="336" customFormat="1" x14ac:dyDescent="0.25">
      <c r="A546" s="340">
        <v>1</v>
      </c>
      <c r="B546" s="350" t="s">
        <v>216</v>
      </c>
      <c r="C546" s="338" t="s">
        <v>1222</v>
      </c>
      <c r="D546" s="422"/>
    </row>
    <row r="547" spans="1:4" s="336" customFormat="1" x14ac:dyDescent="0.25">
      <c r="A547" s="340">
        <v>2</v>
      </c>
      <c r="B547" s="350" t="s">
        <v>68</v>
      </c>
      <c r="C547" s="338" t="s">
        <v>1223</v>
      </c>
      <c r="D547" s="422"/>
    </row>
    <row r="548" spans="1:4" s="336" customFormat="1" x14ac:dyDescent="0.25">
      <c r="A548" s="340">
        <v>3</v>
      </c>
      <c r="B548" s="350" t="s">
        <v>66</v>
      </c>
      <c r="C548" s="338" t="s">
        <v>1224</v>
      </c>
      <c r="D548" s="422"/>
    </row>
    <row r="549" spans="1:4" s="336" customFormat="1" x14ac:dyDescent="0.25">
      <c r="A549" s="340">
        <v>4</v>
      </c>
      <c r="B549" s="350" t="s">
        <v>53</v>
      </c>
      <c r="C549" s="338" t="s">
        <v>1225</v>
      </c>
      <c r="D549" s="422"/>
    </row>
    <row r="550" spans="1:4" s="336" customFormat="1" x14ac:dyDescent="0.25">
      <c r="A550" s="340">
        <v>5</v>
      </c>
      <c r="B550" s="350" t="s">
        <v>210</v>
      </c>
      <c r="C550" s="338" t="s">
        <v>1228</v>
      </c>
      <c r="D550" s="422"/>
    </row>
    <row r="551" spans="1:4" s="336" customFormat="1" x14ac:dyDescent="0.25">
      <c r="A551" s="340">
        <v>6</v>
      </c>
      <c r="B551" s="350" t="s">
        <v>94</v>
      </c>
      <c r="C551" s="338" t="s">
        <v>1226</v>
      </c>
      <c r="D551" s="422"/>
    </row>
    <row r="552" spans="1:4" s="336" customFormat="1" x14ac:dyDescent="0.25">
      <c r="A552" s="340">
        <v>7</v>
      </c>
      <c r="B552" s="350" t="s">
        <v>213</v>
      </c>
      <c r="C552" s="338" t="s">
        <v>1227</v>
      </c>
      <c r="D552" s="422"/>
    </row>
    <row r="553" spans="1:4" s="336" customFormat="1" x14ac:dyDescent="0.25">
      <c r="A553" s="340">
        <v>8</v>
      </c>
      <c r="B553" s="350" t="s">
        <v>64</v>
      </c>
      <c r="C553" s="385"/>
      <c r="D553" s="423" t="s">
        <v>1313</v>
      </c>
    </row>
    <row r="554" spans="1:4" s="336" customFormat="1" x14ac:dyDescent="0.25">
      <c r="A554" s="340">
        <v>9</v>
      </c>
      <c r="B554" s="350" t="s">
        <v>44</v>
      </c>
      <c r="C554" s="338" t="s">
        <v>1229</v>
      </c>
      <c r="D554" s="422"/>
    </row>
    <row r="555" spans="1:4" s="336" customFormat="1" x14ac:dyDescent="0.25">
      <c r="A555" s="340">
        <v>10</v>
      </c>
      <c r="B555" s="350" t="s">
        <v>45</v>
      </c>
      <c r="C555" s="338" t="s">
        <v>1230</v>
      </c>
      <c r="D555" s="422"/>
    </row>
    <row r="556" spans="1:4" s="336" customFormat="1" x14ac:dyDescent="0.25">
      <c r="A556" s="340"/>
      <c r="B556" s="351" t="s">
        <v>507</v>
      </c>
      <c r="C556" s="385"/>
      <c r="D556" s="422"/>
    </row>
    <row r="557" spans="1:4" s="336" customFormat="1" x14ac:dyDescent="0.25">
      <c r="A557" s="340" t="s">
        <v>61</v>
      </c>
      <c r="B557" s="350" t="s">
        <v>219</v>
      </c>
      <c r="C557" s="338" t="s">
        <v>798</v>
      </c>
      <c r="D557" s="422"/>
    </row>
    <row r="558" spans="1:4" s="336" customFormat="1" x14ac:dyDescent="0.25">
      <c r="A558" s="340" t="s">
        <v>63</v>
      </c>
      <c r="B558" s="350" t="s">
        <v>220</v>
      </c>
      <c r="C558" s="338" t="s">
        <v>821</v>
      </c>
      <c r="D558" s="422"/>
    </row>
    <row r="559" spans="1:4" s="336" customFormat="1" x14ac:dyDescent="0.25">
      <c r="A559" s="340" t="s">
        <v>163</v>
      </c>
      <c r="B559" s="350" t="s">
        <v>53</v>
      </c>
      <c r="C559" s="338" t="s">
        <v>799</v>
      </c>
      <c r="D559" s="422"/>
    </row>
    <row r="560" spans="1:4" s="336" customFormat="1" x14ac:dyDescent="0.25">
      <c r="A560" s="340" t="s">
        <v>165</v>
      </c>
      <c r="B560" s="350" t="s">
        <v>210</v>
      </c>
      <c r="C560" s="338" t="s">
        <v>822</v>
      </c>
      <c r="D560" s="422"/>
    </row>
    <row r="561" spans="1:4" s="336" customFormat="1" x14ac:dyDescent="0.25">
      <c r="A561" s="340" t="s">
        <v>172</v>
      </c>
      <c r="B561" s="350" t="s">
        <v>213</v>
      </c>
      <c r="C561" s="338" t="s">
        <v>800</v>
      </c>
      <c r="D561" s="422"/>
    </row>
    <row r="562" spans="1:4" s="336" customFormat="1" x14ac:dyDescent="0.25">
      <c r="A562" s="340" t="s">
        <v>221</v>
      </c>
      <c r="B562" s="350" t="s">
        <v>94</v>
      </c>
      <c r="C562" s="338" t="s">
        <v>801</v>
      </c>
      <c r="D562" s="422"/>
    </row>
    <row r="563" spans="1:4" s="336" customFormat="1" x14ac:dyDescent="0.25">
      <c r="A563" s="340">
        <v>7</v>
      </c>
      <c r="B563" s="350" t="s">
        <v>96</v>
      </c>
      <c r="C563" s="338" t="s">
        <v>802</v>
      </c>
      <c r="D563" s="422"/>
    </row>
    <row r="564" spans="1:4" s="336" customFormat="1" x14ac:dyDescent="0.25">
      <c r="A564" s="340">
        <v>8</v>
      </c>
      <c r="B564" s="350" t="s">
        <v>44</v>
      </c>
      <c r="C564" s="338" t="s">
        <v>803</v>
      </c>
      <c r="D564" s="422"/>
    </row>
    <row r="565" spans="1:4" s="336" customFormat="1" x14ac:dyDescent="0.25">
      <c r="A565" s="340">
        <v>9</v>
      </c>
      <c r="B565" s="350" t="s">
        <v>45</v>
      </c>
      <c r="C565" s="338" t="s">
        <v>823</v>
      </c>
      <c r="D565" s="422"/>
    </row>
    <row r="566" spans="1:4" s="336" customFormat="1" x14ac:dyDescent="0.25">
      <c r="A566" s="354" t="s">
        <v>594</v>
      </c>
      <c r="B566" s="355"/>
      <c r="C566" s="453"/>
      <c r="D566" s="422"/>
    </row>
    <row r="567" spans="1:4" s="336" customFormat="1" x14ac:dyDescent="0.25">
      <c r="A567" s="334">
        <v>1</v>
      </c>
      <c r="B567" s="349" t="s">
        <v>222</v>
      </c>
      <c r="C567" s="338" t="s">
        <v>1196</v>
      </c>
      <c r="D567" s="433"/>
    </row>
    <row r="568" spans="1:4" s="336" customFormat="1" x14ac:dyDescent="0.25">
      <c r="A568" s="334">
        <v>2</v>
      </c>
      <c r="B568" s="350" t="s">
        <v>223</v>
      </c>
      <c r="C568" s="338" t="s">
        <v>1197</v>
      </c>
      <c r="D568" s="433"/>
    </row>
    <row r="569" spans="1:4" s="336" customFormat="1" x14ac:dyDescent="0.25">
      <c r="A569" s="334">
        <v>3</v>
      </c>
      <c r="B569" s="350" t="s">
        <v>53</v>
      </c>
      <c r="C569" s="338" t="s">
        <v>1199</v>
      </c>
      <c r="D569" s="433"/>
    </row>
    <row r="570" spans="1:4" s="336" customFormat="1" x14ac:dyDescent="0.25">
      <c r="A570" s="334">
        <v>4</v>
      </c>
      <c r="B570" s="349" t="s">
        <v>210</v>
      </c>
      <c r="C570" s="338" t="s">
        <v>1200</v>
      </c>
      <c r="D570" s="433"/>
    </row>
    <row r="571" spans="1:4" s="336" customFormat="1" x14ac:dyDescent="0.25">
      <c r="A571" s="334">
        <v>5</v>
      </c>
      <c r="B571" s="350" t="s">
        <v>44</v>
      </c>
      <c r="C571" s="338" t="s">
        <v>1201</v>
      </c>
      <c r="D571" s="433"/>
    </row>
    <row r="572" spans="1:4" s="336" customFormat="1" x14ac:dyDescent="0.25">
      <c r="A572" s="334">
        <v>6</v>
      </c>
      <c r="B572" s="357" t="s">
        <v>224</v>
      </c>
      <c r="C572" s="338" t="s">
        <v>1198</v>
      </c>
      <c r="D572" s="433"/>
    </row>
    <row r="573" spans="1:4" s="336" customFormat="1" x14ac:dyDescent="0.25">
      <c r="A573" s="340"/>
      <c r="B573" s="351" t="s">
        <v>235</v>
      </c>
      <c r="C573" s="385"/>
      <c r="D573" s="422"/>
    </row>
    <row r="574" spans="1:4" s="336" customFormat="1" ht="26.25" x14ac:dyDescent="0.25">
      <c r="A574" s="340">
        <v>1</v>
      </c>
      <c r="B574" s="349" t="s">
        <v>236</v>
      </c>
      <c r="C574" s="338" t="s">
        <v>804</v>
      </c>
      <c r="D574" s="422"/>
    </row>
    <row r="575" spans="1:4" s="336" customFormat="1" x14ac:dyDescent="0.25">
      <c r="A575" s="340">
        <v>2</v>
      </c>
      <c r="B575" s="350" t="s">
        <v>237</v>
      </c>
      <c r="C575" s="338" t="s">
        <v>824</v>
      </c>
      <c r="D575" s="422"/>
    </row>
    <row r="576" spans="1:4" s="336" customFormat="1" x14ac:dyDescent="0.25">
      <c r="A576" s="340">
        <v>3</v>
      </c>
      <c r="B576" s="350" t="s">
        <v>53</v>
      </c>
      <c r="C576" s="338" t="s">
        <v>805</v>
      </c>
      <c r="D576" s="422"/>
    </row>
    <row r="577" spans="1:4" s="336" customFormat="1" x14ac:dyDescent="0.25">
      <c r="A577" s="340">
        <v>4</v>
      </c>
      <c r="B577" s="350" t="s">
        <v>238</v>
      </c>
      <c r="C577" s="338" t="s">
        <v>825</v>
      </c>
      <c r="D577" s="422"/>
    </row>
    <row r="578" spans="1:4" s="336" customFormat="1" x14ac:dyDescent="0.25">
      <c r="A578" s="340">
        <v>5</v>
      </c>
      <c r="B578" s="350" t="s">
        <v>44</v>
      </c>
      <c r="C578" s="338" t="s">
        <v>806</v>
      </c>
      <c r="D578" s="422"/>
    </row>
    <row r="579" spans="1:4" s="336" customFormat="1" x14ac:dyDescent="0.25">
      <c r="A579" s="340">
        <v>6</v>
      </c>
      <c r="B579" s="350" t="s">
        <v>45</v>
      </c>
      <c r="C579" s="338" t="s">
        <v>807</v>
      </c>
      <c r="D579" s="422"/>
    </row>
    <row r="580" spans="1:4" x14ac:dyDescent="0.25">
      <c r="A580" s="61">
        <v>7</v>
      </c>
      <c r="B580" s="76" t="s">
        <v>478</v>
      </c>
      <c r="C580" s="260"/>
      <c r="D580" s="421"/>
    </row>
    <row r="581" spans="1:4" s="336" customFormat="1" x14ac:dyDescent="0.25">
      <c r="A581" s="340"/>
      <c r="B581" s="351" t="s">
        <v>239</v>
      </c>
      <c r="C581" s="385"/>
      <c r="D581" s="422"/>
    </row>
    <row r="582" spans="1:4" s="336" customFormat="1" x14ac:dyDescent="0.25">
      <c r="A582" s="340">
        <v>1</v>
      </c>
      <c r="B582" s="350" t="s">
        <v>240</v>
      </c>
      <c r="C582" s="385" t="s">
        <v>1231</v>
      </c>
      <c r="D582" s="422"/>
    </row>
    <row r="583" spans="1:4" s="336" customFormat="1" x14ac:dyDescent="0.25">
      <c r="A583" s="340">
        <v>2</v>
      </c>
      <c r="B583" s="350" t="s">
        <v>595</v>
      </c>
      <c r="C583" s="385" t="s">
        <v>1232</v>
      </c>
      <c r="D583" s="422"/>
    </row>
    <row r="584" spans="1:4" s="336" customFormat="1" x14ac:dyDescent="0.25">
      <c r="A584" s="340">
        <v>3</v>
      </c>
      <c r="B584" s="350" t="s">
        <v>44</v>
      </c>
      <c r="C584" s="385" t="s">
        <v>1233</v>
      </c>
      <c r="D584" s="422"/>
    </row>
    <row r="585" spans="1:4" s="336" customFormat="1" x14ac:dyDescent="0.25">
      <c r="A585" s="334">
        <v>4</v>
      </c>
      <c r="B585" s="350" t="s">
        <v>45</v>
      </c>
      <c r="C585" s="385" t="s">
        <v>1234</v>
      </c>
      <c r="D585" s="422"/>
    </row>
    <row r="586" spans="1:4" s="336" customFormat="1" x14ac:dyDescent="0.25">
      <c r="A586" s="340"/>
      <c r="B586" s="358" t="s">
        <v>241</v>
      </c>
      <c r="C586" s="449"/>
      <c r="D586" s="422"/>
    </row>
    <row r="587" spans="1:4" s="336" customFormat="1" x14ac:dyDescent="0.25">
      <c r="A587" s="340">
        <v>1</v>
      </c>
      <c r="B587" s="353" t="s">
        <v>242</v>
      </c>
      <c r="C587" s="338" t="s">
        <v>808</v>
      </c>
      <c r="D587" s="422"/>
    </row>
    <row r="588" spans="1:4" s="336" customFormat="1" x14ac:dyDescent="0.25">
      <c r="A588" s="340">
        <v>2</v>
      </c>
      <c r="B588" s="353" t="s">
        <v>243</v>
      </c>
      <c r="C588" s="338" t="s">
        <v>826</v>
      </c>
      <c r="D588" s="422"/>
    </row>
    <row r="589" spans="1:4" s="336" customFormat="1" x14ac:dyDescent="0.25">
      <c r="A589" s="340">
        <v>3</v>
      </c>
      <c r="B589" s="353" t="s">
        <v>244</v>
      </c>
      <c r="C589" s="338" t="s">
        <v>827</v>
      </c>
      <c r="D589" s="422"/>
    </row>
    <row r="590" spans="1:4" s="336" customFormat="1" x14ac:dyDescent="0.25">
      <c r="A590" s="340">
        <v>4</v>
      </c>
      <c r="B590" s="353" t="s">
        <v>96</v>
      </c>
      <c r="C590" s="338" t="s">
        <v>809</v>
      </c>
      <c r="D590" s="422"/>
    </row>
    <row r="591" spans="1:4" s="336" customFormat="1" x14ac:dyDescent="0.25">
      <c r="A591" s="340">
        <v>5</v>
      </c>
      <c r="B591" s="353" t="s">
        <v>44</v>
      </c>
      <c r="C591" s="338" t="s">
        <v>810</v>
      </c>
      <c r="D591" s="422"/>
    </row>
    <row r="592" spans="1:4" s="336" customFormat="1" x14ac:dyDescent="0.25">
      <c r="A592" s="340">
        <v>6</v>
      </c>
      <c r="B592" s="353" t="s">
        <v>45</v>
      </c>
      <c r="C592" s="338" t="s">
        <v>811</v>
      </c>
      <c r="D592" s="422"/>
    </row>
    <row r="593" spans="1:4" s="336" customFormat="1" x14ac:dyDescent="0.25">
      <c r="A593" s="340"/>
      <c r="B593" s="351" t="s">
        <v>245</v>
      </c>
      <c r="C593" s="453"/>
      <c r="D593" s="422"/>
    </row>
    <row r="594" spans="1:4" s="336" customFormat="1" x14ac:dyDescent="0.25">
      <c r="A594" s="340">
        <v>1</v>
      </c>
      <c r="B594" s="350" t="s">
        <v>246</v>
      </c>
      <c r="C594" s="338" t="s">
        <v>812</v>
      </c>
      <c r="D594" s="422"/>
    </row>
    <row r="595" spans="1:4" s="336" customFormat="1" x14ac:dyDescent="0.25">
      <c r="A595" s="340">
        <v>2</v>
      </c>
      <c r="B595" s="350" t="s">
        <v>45</v>
      </c>
      <c r="C595" s="338" t="s">
        <v>813</v>
      </c>
      <c r="D595" s="422"/>
    </row>
    <row r="596" spans="1:4" s="336" customFormat="1" x14ac:dyDescent="0.25">
      <c r="A596" s="340"/>
      <c r="B596" s="354" t="s">
        <v>247</v>
      </c>
      <c r="C596" s="453"/>
      <c r="D596" s="422"/>
    </row>
    <row r="597" spans="1:4" s="336" customFormat="1" x14ac:dyDescent="0.25">
      <c r="A597" s="340">
        <v>1</v>
      </c>
      <c r="B597" s="359" t="s">
        <v>248</v>
      </c>
      <c r="C597" s="338" t="s">
        <v>835</v>
      </c>
      <c r="D597" s="422"/>
    </row>
    <row r="598" spans="1:4" s="336" customFormat="1" x14ac:dyDescent="0.25">
      <c r="A598" s="340">
        <v>2</v>
      </c>
      <c r="B598" s="353" t="s">
        <v>249</v>
      </c>
      <c r="C598" s="338" t="s">
        <v>836</v>
      </c>
      <c r="D598" s="422"/>
    </row>
    <row r="599" spans="1:4" s="336" customFormat="1" x14ac:dyDescent="0.25">
      <c r="A599" s="340">
        <v>3</v>
      </c>
      <c r="B599" s="353" t="s">
        <v>250</v>
      </c>
      <c r="C599" s="338" t="s">
        <v>837</v>
      </c>
      <c r="D599" s="422"/>
    </row>
    <row r="600" spans="1:4" s="336" customFormat="1" x14ac:dyDescent="0.25">
      <c r="A600" s="340"/>
      <c r="B600" s="354" t="s">
        <v>98</v>
      </c>
      <c r="C600" s="385"/>
      <c r="D600" s="422"/>
    </row>
    <row r="601" spans="1:4" s="336" customFormat="1" x14ac:dyDescent="0.25">
      <c r="A601" s="340">
        <v>4</v>
      </c>
      <c r="B601" s="335" t="s">
        <v>100</v>
      </c>
      <c r="C601" s="338" t="s">
        <v>838</v>
      </c>
      <c r="D601" s="422"/>
    </row>
    <row r="602" spans="1:4" s="336" customFormat="1" x14ac:dyDescent="0.25">
      <c r="A602" s="340">
        <v>5</v>
      </c>
      <c r="B602" s="350" t="s">
        <v>299</v>
      </c>
      <c r="C602" s="338" t="s">
        <v>839</v>
      </c>
      <c r="D602" s="422"/>
    </row>
    <row r="603" spans="1:4" s="336" customFormat="1" x14ac:dyDescent="0.25">
      <c r="A603" s="340">
        <v>6</v>
      </c>
      <c r="B603" s="350" t="s">
        <v>101</v>
      </c>
      <c r="C603" s="338" t="s">
        <v>840</v>
      </c>
      <c r="D603" s="422"/>
    </row>
    <row r="604" spans="1:4" s="336" customFormat="1" ht="26.25" x14ac:dyDescent="0.25">
      <c r="A604" s="340">
        <v>7</v>
      </c>
      <c r="B604" s="349" t="s">
        <v>251</v>
      </c>
      <c r="C604" s="338" t="s">
        <v>841</v>
      </c>
      <c r="D604" s="422"/>
    </row>
    <row r="605" spans="1:4" s="336" customFormat="1" x14ac:dyDescent="0.25">
      <c r="A605" s="340">
        <v>8</v>
      </c>
      <c r="B605" s="335" t="s">
        <v>102</v>
      </c>
      <c r="C605" s="338" t="s">
        <v>842</v>
      </c>
      <c r="D605" s="422"/>
    </row>
    <row r="606" spans="1:4" s="336" customFormat="1" x14ac:dyDescent="0.25">
      <c r="A606" s="340">
        <v>9</v>
      </c>
      <c r="B606" s="335" t="s">
        <v>597</v>
      </c>
      <c r="C606" s="338" t="s">
        <v>843</v>
      </c>
      <c r="D606" s="422"/>
    </row>
    <row r="607" spans="1:4" s="336" customFormat="1" x14ac:dyDescent="0.25">
      <c r="A607" s="340">
        <v>10</v>
      </c>
      <c r="B607" s="335" t="s">
        <v>103</v>
      </c>
      <c r="C607" s="338" t="s">
        <v>844</v>
      </c>
      <c r="D607" s="422"/>
    </row>
    <row r="608" spans="1:4" s="336" customFormat="1" x14ac:dyDescent="0.25">
      <c r="A608" s="340">
        <v>11</v>
      </c>
      <c r="B608" s="335" t="s">
        <v>252</v>
      </c>
      <c r="C608" s="338" t="s">
        <v>845</v>
      </c>
      <c r="D608" s="422"/>
    </row>
    <row r="609" spans="1:4" s="336" customFormat="1" x14ac:dyDescent="0.25">
      <c r="A609" s="340">
        <v>12</v>
      </c>
      <c r="B609" s="335" t="s">
        <v>253</v>
      </c>
      <c r="C609" s="338" t="s">
        <v>849</v>
      </c>
      <c r="D609" s="422"/>
    </row>
    <row r="610" spans="1:4" s="336" customFormat="1" x14ac:dyDescent="0.25">
      <c r="A610" s="340">
        <v>13</v>
      </c>
      <c r="B610" s="350" t="s">
        <v>104</v>
      </c>
      <c r="C610" s="338" t="s">
        <v>846</v>
      </c>
      <c r="D610" s="422"/>
    </row>
    <row r="611" spans="1:4" s="336" customFormat="1" x14ac:dyDescent="0.25">
      <c r="A611" s="340">
        <v>14</v>
      </c>
      <c r="B611" s="335" t="s">
        <v>105</v>
      </c>
      <c r="C611" s="338" t="s">
        <v>847</v>
      </c>
      <c r="D611" s="422"/>
    </row>
    <row r="612" spans="1:4" s="336" customFormat="1" x14ac:dyDescent="0.25">
      <c r="A612" s="340">
        <v>15</v>
      </c>
      <c r="B612" s="335" t="s">
        <v>254</v>
      </c>
      <c r="C612" s="338" t="s">
        <v>850</v>
      </c>
      <c r="D612" s="422"/>
    </row>
    <row r="613" spans="1:4" s="336" customFormat="1" x14ac:dyDescent="0.25">
      <c r="A613" s="340">
        <v>16</v>
      </c>
      <c r="B613" s="335" t="s">
        <v>106</v>
      </c>
      <c r="C613" s="338" t="s">
        <v>851</v>
      </c>
      <c r="D613" s="422"/>
    </row>
    <row r="614" spans="1:4" s="336" customFormat="1" ht="26.25" x14ac:dyDescent="0.25">
      <c r="A614" s="340">
        <v>17</v>
      </c>
      <c r="B614" s="360" t="s">
        <v>255</v>
      </c>
      <c r="C614" s="338" t="s">
        <v>852</v>
      </c>
      <c r="D614" s="422"/>
    </row>
    <row r="615" spans="1:4" s="336" customFormat="1" x14ac:dyDescent="0.25">
      <c r="A615" s="340">
        <v>18</v>
      </c>
      <c r="B615" s="335" t="s">
        <v>256</v>
      </c>
      <c r="C615" s="338" t="s">
        <v>853</v>
      </c>
      <c r="D615" s="422"/>
    </row>
    <row r="616" spans="1:4" s="336" customFormat="1" ht="26.25" x14ac:dyDescent="0.25">
      <c r="A616" s="340">
        <v>19</v>
      </c>
      <c r="B616" s="339" t="s">
        <v>664</v>
      </c>
      <c r="C616" s="385" t="s">
        <v>1193</v>
      </c>
      <c r="D616" s="422"/>
    </row>
    <row r="617" spans="1:4" s="336" customFormat="1" x14ac:dyDescent="0.25">
      <c r="A617" s="340">
        <v>20</v>
      </c>
      <c r="B617" s="335" t="s">
        <v>108</v>
      </c>
      <c r="C617" s="338" t="s">
        <v>848</v>
      </c>
      <c r="D617" s="422"/>
    </row>
    <row r="618" spans="1:4" s="336" customFormat="1" x14ac:dyDescent="0.25">
      <c r="A618" s="340"/>
      <c r="B618" s="351" t="s">
        <v>300</v>
      </c>
      <c r="C618" s="385"/>
      <c r="D618" s="422"/>
    </row>
    <row r="619" spans="1:4" s="336" customFormat="1" x14ac:dyDescent="0.25">
      <c r="A619" s="340">
        <v>20</v>
      </c>
      <c r="B619" s="350" t="s">
        <v>257</v>
      </c>
      <c r="C619" s="338" t="s">
        <v>854</v>
      </c>
      <c r="D619" s="422"/>
    </row>
    <row r="620" spans="1:4" s="336" customFormat="1" x14ac:dyDescent="0.25">
      <c r="A620" s="340">
        <v>21</v>
      </c>
      <c r="B620" s="350" t="s">
        <v>258</v>
      </c>
      <c r="C620" s="338" t="s">
        <v>855</v>
      </c>
      <c r="D620" s="422"/>
    </row>
    <row r="621" spans="1:4" s="336" customFormat="1" x14ac:dyDescent="0.25">
      <c r="A621" s="340">
        <v>22</v>
      </c>
      <c r="B621" s="355" t="s">
        <v>259</v>
      </c>
      <c r="C621" s="338" t="s">
        <v>856</v>
      </c>
      <c r="D621" s="422"/>
    </row>
    <row r="622" spans="1:4" s="336" customFormat="1" x14ac:dyDescent="0.25">
      <c r="A622" s="340">
        <v>23</v>
      </c>
      <c r="B622" s="355" t="s">
        <v>260</v>
      </c>
      <c r="C622" s="338" t="s">
        <v>857</v>
      </c>
      <c r="D622" s="422"/>
    </row>
    <row r="623" spans="1:4" s="336" customFormat="1" x14ac:dyDescent="0.25">
      <c r="A623" s="340">
        <v>24</v>
      </c>
      <c r="B623" s="355" t="s">
        <v>106</v>
      </c>
      <c r="C623" s="338" t="s">
        <v>858</v>
      </c>
      <c r="D623" s="422"/>
    </row>
    <row r="624" spans="1:4" s="336" customFormat="1" ht="18.75" x14ac:dyDescent="0.3">
      <c r="A624" s="361"/>
      <c r="B624" s="362" t="s">
        <v>508</v>
      </c>
      <c r="C624" s="385"/>
      <c r="D624" s="422"/>
    </row>
    <row r="625" spans="1:4" s="336" customFormat="1" x14ac:dyDescent="0.25">
      <c r="A625" s="340"/>
      <c r="B625" s="363" t="s">
        <v>15</v>
      </c>
      <c r="C625" s="356"/>
      <c r="D625" s="422"/>
    </row>
    <row r="626" spans="1:4" s="336" customFormat="1" x14ac:dyDescent="0.25">
      <c r="A626" s="334">
        <v>1</v>
      </c>
      <c r="B626" s="350" t="s">
        <v>263</v>
      </c>
      <c r="C626" s="338" t="s">
        <v>859</v>
      </c>
      <c r="D626" s="422"/>
    </row>
    <row r="627" spans="1:4" s="336" customFormat="1" x14ac:dyDescent="0.25">
      <c r="A627" s="334">
        <v>2</v>
      </c>
      <c r="B627" s="349" t="s">
        <v>207</v>
      </c>
      <c r="C627" s="338" t="s">
        <v>860</v>
      </c>
      <c r="D627" s="434"/>
    </row>
    <row r="628" spans="1:4" s="336" customFormat="1" x14ac:dyDescent="0.25">
      <c r="A628" s="340">
        <v>3</v>
      </c>
      <c r="B628" s="350" t="s">
        <v>43</v>
      </c>
      <c r="C628" s="338" t="s">
        <v>861</v>
      </c>
      <c r="D628" s="422"/>
    </row>
    <row r="629" spans="1:4" s="336" customFormat="1" x14ac:dyDescent="0.25">
      <c r="A629" s="340">
        <v>4</v>
      </c>
      <c r="B629" s="350" t="s">
        <v>208</v>
      </c>
      <c r="C629" s="338" t="s">
        <v>862</v>
      </c>
      <c r="D629" s="422"/>
    </row>
    <row r="630" spans="1:4" s="336" customFormat="1" x14ac:dyDescent="0.25">
      <c r="A630" s="334"/>
      <c r="B630" s="351" t="s">
        <v>46</v>
      </c>
      <c r="C630" s="453"/>
      <c r="D630" s="422"/>
    </row>
    <row r="631" spans="1:4" s="336" customFormat="1" x14ac:dyDescent="0.25">
      <c r="A631" s="334">
        <v>1</v>
      </c>
      <c r="B631" s="339" t="s">
        <v>24</v>
      </c>
      <c r="C631" s="338" t="s">
        <v>863</v>
      </c>
      <c r="D631" s="422"/>
    </row>
    <row r="632" spans="1:4" s="336" customFormat="1" x14ac:dyDescent="0.25">
      <c r="A632" s="334">
        <v>2</v>
      </c>
      <c r="B632" s="355" t="s">
        <v>35</v>
      </c>
      <c r="C632" s="338" t="s">
        <v>864</v>
      </c>
      <c r="D632" s="422"/>
    </row>
    <row r="633" spans="1:4" s="336" customFormat="1" x14ac:dyDescent="0.25">
      <c r="A633" s="334"/>
      <c r="B633" s="364" t="s">
        <v>600</v>
      </c>
      <c r="C633" s="356"/>
      <c r="D633" s="422"/>
    </row>
    <row r="634" spans="1:4" s="336" customFormat="1" x14ac:dyDescent="0.25">
      <c r="A634" s="334">
        <v>1</v>
      </c>
      <c r="B634" s="365" t="s">
        <v>264</v>
      </c>
      <c r="C634" s="338" t="s">
        <v>1269</v>
      </c>
      <c r="D634" s="422"/>
    </row>
    <row r="635" spans="1:4" s="336" customFormat="1" x14ac:dyDescent="0.25">
      <c r="A635" s="334">
        <v>2</v>
      </c>
      <c r="B635" s="365" t="s">
        <v>265</v>
      </c>
      <c r="C635" s="338" t="s">
        <v>1270</v>
      </c>
      <c r="D635" s="422"/>
    </row>
    <row r="636" spans="1:4" s="336" customFormat="1" x14ac:dyDescent="0.25">
      <c r="A636" s="334">
        <v>3</v>
      </c>
      <c r="B636" s="365" t="s">
        <v>536</v>
      </c>
      <c r="C636" s="338" t="s">
        <v>1271</v>
      </c>
      <c r="D636" s="422"/>
    </row>
    <row r="637" spans="1:4" s="336" customFormat="1" x14ac:dyDescent="0.25">
      <c r="A637" s="334">
        <v>4</v>
      </c>
      <c r="B637" s="365" t="s">
        <v>53</v>
      </c>
      <c r="C637" s="338" t="s">
        <v>1272</v>
      </c>
      <c r="D637" s="422"/>
    </row>
    <row r="638" spans="1:4" s="336" customFormat="1" x14ac:dyDescent="0.25">
      <c r="A638" s="334">
        <v>5</v>
      </c>
      <c r="B638" s="365" t="s">
        <v>210</v>
      </c>
      <c r="C638" s="338" t="s">
        <v>1273</v>
      </c>
      <c r="D638" s="422"/>
    </row>
    <row r="639" spans="1:4" s="336" customFormat="1" x14ac:dyDescent="0.25">
      <c r="A639" s="334">
        <v>6</v>
      </c>
      <c r="B639" s="365" t="s">
        <v>94</v>
      </c>
      <c r="C639" s="338" t="s">
        <v>1274</v>
      </c>
      <c r="D639" s="422"/>
    </row>
    <row r="640" spans="1:4" s="336" customFormat="1" x14ac:dyDescent="0.25">
      <c r="A640" s="334">
        <v>7</v>
      </c>
      <c r="B640" s="365" t="s">
        <v>213</v>
      </c>
      <c r="C640" s="338" t="s">
        <v>1275</v>
      </c>
      <c r="D640" s="422"/>
    </row>
    <row r="641" spans="1:8" s="336" customFormat="1" x14ac:dyDescent="0.25">
      <c r="A641" s="334">
        <v>8</v>
      </c>
      <c r="B641" s="365" t="s">
        <v>44</v>
      </c>
      <c r="C641" s="338" t="s">
        <v>1276</v>
      </c>
      <c r="D641" s="422"/>
    </row>
    <row r="642" spans="1:8" s="336" customFormat="1" x14ac:dyDescent="0.25">
      <c r="A642" s="340">
        <v>9</v>
      </c>
      <c r="B642" s="365" t="s">
        <v>45</v>
      </c>
      <c r="C642" s="338" t="s">
        <v>1277</v>
      </c>
      <c r="D642" s="422"/>
    </row>
    <row r="643" spans="1:8" s="336" customFormat="1" x14ac:dyDescent="0.25">
      <c r="A643" s="340"/>
      <c r="B643" s="351" t="s">
        <v>512</v>
      </c>
      <c r="C643" s="453"/>
      <c r="D643" s="422"/>
    </row>
    <row r="644" spans="1:8" s="336" customFormat="1" x14ac:dyDescent="0.25">
      <c r="A644" s="340">
        <v>1</v>
      </c>
      <c r="B644" s="350" t="s">
        <v>266</v>
      </c>
      <c r="C644" s="338" t="s">
        <v>865</v>
      </c>
      <c r="D644" s="422"/>
    </row>
    <row r="645" spans="1:8" s="336" customFormat="1" x14ac:dyDescent="0.25">
      <c r="A645" s="340">
        <v>2</v>
      </c>
      <c r="B645" s="350" t="s">
        <v>81</v>
      </c>
      <c r="C645" s="338" t="s">
        <v>866</v>
      </c>
      <c r="D645" s="422"/>
    </row>
    <row r="646" spans="1:8" s="336" customFormat="1" x14ac:dyDescent="0.25">
      <c r="A646" s="340">
        <v>3</v>
      </c>
      <c r="B646" s="350" t="s">
        <v>53</v>
      </c>
      <c r="C646" s="338" t="s">
        <v>867</v>
      </c>
      <c r="D646" s="422"/>
    </row>
    <row r="647" spans="1:8" s="336" customFormat="1" x14ac:dyDescent="0.25">
      <c r="A647" s="340">
        <v>4</v>
      </c>
      <c r="B647" s="350" t="s">
        <v>210</v>
      </c>
      <c r="C647" s="338" t="s">
        <v>868</v>
      </c>
      <c r="D647" s="422"/>
    </row>
    <row r="648" spans="1:8" s="336" customFormat="1" x14ac:dyDescent="0.25">
      <c r="A648" s="340">
        <v>5</v>
      </c>
      <c r="B648" s="350" t="s">
        <v>94</v>
      </c>
      <c r="C648" s="338" t="s">
        <v>869</v>
      </c>
      <c r="D648" s="422"/>
    </row>
    <row r="649" spans="1:8" s="336" customFormat="1" x14ac:dyDescent="0.25">
      <c r="A649" s="340">
        <v>6</v>
      </c>
      <c r="B649" s="350" t="s">
        <v>44</v>
      </c>
      <c r="C649" s="338" t="s">
        <v>870</v>
      </c>
      <c r="D649" s="422"/>
    </row>
    <row r="650" spans="1:8" s="336" customFormat="1" x14ac:dyDescent="0.25">
      <c r="A650" s="334">
        <v>7</v>
      </c>
      <c r="B650" s="350" t="s">
        <v>45</v>
      </c>
      <c r="C650" s="338" t="s">
        <v>871</v>
      </c>
      <c r="D650" s="422"/>
    </row>
    <row r="651" spans="1:8" x14ac:dyDescent="0.25">
      <c r="A651" s="61"/>
      <c r="B651" s="408" t="s">
        <v>560</v>
      </c>
      <c r="C651" s="271"/>
      <c r="D651" s="435"/>
      <c r="E651" s="73"/>
      <c r="F651" s="74"/>
      <c r="G651" s="73"/>
      <c r="H651" s="73"/>
    </row>
    <row r="652" spans="1:8" x14ac:dyDescent="0.25">
      <c r="A652" s="61">
        <v>1</v>
      </c>
      <c r="B652" s="76" t="s">
        <v>266</v>
      </c>
      <c r="C652" s="223"/>
      <c r="D652" s="421"/>
    </row>
    <row r="653" spans="1:8" x14ac:dyDescent="0.25">
      <c r="A653" s="61">
        <v>2</v>
      </c>
      <c r="B653" s="76" t="s">
        <v>81</v>
      </c>
      <c r="C653" s="223"/>
      <c r="D653" s="421"/>
    </row>
    <row r="654" spans="1:8" x14ac:dyDescent="0.25">
      <c r="A654" s="61">
        <v>3</v>
      </c>
      <c r="B654" s="76" t="s">
        <v>53</v>
      </c>
      <c r="C654" s="223"/>
      <c r="D654" s="421"/>
    </row>
    <row r="655" spans="1:8" x14ac:dyDescent="0.25">
      <c r="A655" s="61">
        <v>4</v>
      </c>
      <c r="B655" s="76" t="s">
        <v>210</v>
      </c>
      <c r="C655" s="223"/>
      <c r="D655" s="421"/>
    </row>
    <row r="656" spans="1:8" x14ac:dyDescent="0.25">
      <c r="A656" s="61">
        <v>5</v>
      </c>
      <c r="B656" s="76" t="s">
        <v>94</v>
      </c>
      <c r="C656" s="223"/>
      <c r="D656" s="421"/>
    </row>
    <row r="657" spans="1:4" x14ac:dyDescent="0.25">
      <c r="A657" s="61">
        <v>6</v>
      </c>
      <c r="B657" s="76" t="s">
        <v>44</v>
      </c>
      <c r="C657" s="223"/>
      <c r="D657" s="421"/>
    </row>
    <row r="658" spans="1:4" x14ac:dyDescent="0.25">
      <c r="A658" s="61">
        <v>7</v>
      </c>
      <c r="B658" s="76" t="s">
        <v>45</v>
      </c>
      <c r="C658" s="223"/>
      <c r="D658" s="421"/>
    </row>
    <row r="659" spans="1:4" x14ac:dyDescent="0.25">
      <c r="A659" s="61">
        <v>8</v>
      </c>
      <c r="B659" s="76" t="s">
        <v>269</v>
      </c>
      <c r="C659" s="223"/>
      <c r="D659" s="421"/>
    </row>
    <row r="660" spans="1:4" x14ac:dyDescent="0.25">
      <c r="A660" s="61">
        <v>9</v>
      </c>
      <c r="B660" s="76" t="s">
        <v>189</v>
      </c>
      <c r="C660" s="223"/>
      <c r="D660" s="421"/>
    </row>
    <row r="661" spans="1:4" s="336" customFormat="1" x14ac:dyDescent="0.25">
      <c r="A661" s="340"/>
      <c r="B661" s="351" t="s">
        <v>601</v>
      </c>
      <c r="C661" s="385"/>
      <c r="D661" s="422"/>
    </row>
    <row r="662" spans="1:4" s="336" customFormat="1" x14ac:dyDescent="0.25">
      <c r="A662" s="340">
        <v>6</v>
      </c>
      <c r="B662" s="350" t="s">
        <v>266</v>
      </c>
      <c r="C662" s="338" t="s">
        <v>872</v>
      </c>
      <c r="D662" s="422"/>
    </row>
    <row r="663" spans="1:4" s="336" customFormat="1" x14ac:dyDescent="0.25">
      <c r="A663" s="340">
        <v>7</v>
      </c>
      <c r="B663" s="350" t="s">
        <v>81</v>
      </c>
      <c r="C663" s="338" t="s">
        <v>873</v>
      </c>
      <c r="D663" s="422"/>
    </row>
    <row r="664" spans="1:4" s="336" customFormat="1" x14ac:dyDescent="0.25">
      <c r="A664" s="340">
        <v>8</v>
      </c>
      <c r="B664" s="350" t="s">
        <v>53</v>
      </c>
      <c r="C664" s="338" t="s">
        <v>874</v>
      </c>
      <c r="D664" s="422"/>
    </row>
    <row r="665" spans="1:4" s="336" customFormat="1" x14ac:dyDescent="0.25">
      <c r="A665" s="340">
        <v>9</v>
      </c>
      <c r="B665" s="350" t="s">
        <v>210</v>
      </c>
      <c r="C665" s="338" t="s">
        <v>875</v>
      </c>
      <c r="D665" s="422"/>
    </row>
    <row r="666" spans="1:4" s="336" customFormat="1" x14ac:dyDescent="0.25">
      <c r="A666" s="340">
        <v>10</v>
      </c>
      <c r="B666" s="350" t="s">
        <v>94</v>
      </c>
      <c r="C666" s="338" t="s">
        <v>876</v>
      </c>
      <c r="D666" s="422"/>
    </row>
    <row r="667" spans="1:4" s="336" customFormat="1" x14ac:dyDescent="0.25">
      <c r="A667" s="340">
        <v>11</v>
      </c>
      <c r="B667" s="350" t="s">
        <v>44</v>
      </c>
      <c r="C667" s="338" t="s">
        <v>877</v>
      </c>
      <c r="D667" s="422"/>
    </row>
    <row r="668" spans="1:4" s="336" customFormat="1" x14ac:dyDescent="0.25">
      <c r="A668" s="340">
        <v>12</v>
      </c>
      <c r="B668" s="350" t="s">
        <v>45</v>
      </c>
      <c r="C668" s="338" t="s">
        <v>878</v>
      </c>
      <c r="D668" s="422"/>
    </row>
    <row r="669" spans="1:4" x14ac:dyDescent="0.25">
      <c r="A669" s="61"/>
      <c r="B669" s="406" t="s">
        <v>270</v>
      </c>
      <c r="C669" s="260"/>
      <c r="D669" s="421"/>
    </row>
    <row r="670" spans="1:4" x14ac:dyDescent="0.25">
      <c r="A670" s="61">
        <v>13</v>
      </c>
      <c r="B670" s="65" t="s">
        <v>271</v>
      </c>
      <c r="C670" s="223" t="s">
        <v>1258</v>
      </c>
      <c r="D670" s="421"/>
    </row>
    <row r="671" spans="1:4" x14ac:dyDescent="0.25">
      <c r="A671" s="61">
        <v>14</v>
      </c>
      <c r="B671" s="65" t="s">
        <v>272</v>
      </c>
      <c r="C671" s="223" t="s">
        <v>1259</v>
      </c>
      <c r="D671" s="421"/>
    </row>
    <row r="672" spans="1:4" x14ac:dyDescent="0.25">
      <c r="A672" s="61">
        <v>15</v>
      </c>
      <c r="B672" s="65" t="s">
        <v>273</v>
      </c>
      <c r="C672" s="223" t="s">
        <v>1260</v>
      </c>
      <c r="D672" s="421"/>
    </row>
    <row r="673" spans="1:4" x14ac:dyDescent="0.25">
      <c r="A673" s="61">
        <v>16</v>
      </c>
      <c r="B673" s="65" t="s">
        <v>274</v>
      </c>
      <c r="C673" s="223" t="s">
        <v>1261</v>
      </c>
      <c r="D673" s="421"/>
    </row>
    <row r="674" spans="1:4" x14ac:dyDescent="0.25">
      <c r="A674" s="61">
        <v>17</v>
      </c>
      <c r="B674" s="65" t="s">
        <v>275</v>
      </c>
      <c r="C674" s="223" t="s">
        <v>1262</v>
      </c>
      <c r="D674" s="421"/>
    </row>
    <row r="675" spans="1:4" x14ac:dyDescent="0.25">
      <c r="A675" s="61">
        <v>18</v>
      </c>
      <c r="B675" s="76" t="s">
        <v>44</v>
      </c>
      <c r="C675" s="223"/>
      <c r="D675" s="421"/>
    </row>
    <row r="676" spans="1:4" x14ac:dyDescent="0.25">
      <c r="A676" s="56">
        <v>19</v>
      </c>
      <c r="B676" s="65" t="s">
        <v>45</v>
      </c>
      <c r="C676" s="260"/>
      <c r="D676" s="421"/>
    </row>
    <row r="677" spans="1:4" s="336" customFormat="1" x14ac:dyDescent="0.25">
      <c r="A677" s="334"/>
      <c r="B677" s="368" t="s">
        <v>278</v>
      </c>
      <c r="C677" s="385"/>
      <c r="D677" s="422"/>
    </row>
    <row r="678" spans="1:4" s="336" customFormat="1" x14ac:dyDescent="0.25">
      <c r="A678" s="340">
        <v>20</v>
      </c>
      <c r="B678" s="339" t="s">
        <v>279</v>
      </c>
      <c r="C678" s="338" t="s">
        <v>1264</v>
      </c>
      <c r="D678" s="422"/>
    </row>
    <row r="679" spans="1:4" s="336" customFormat="1" x14ac:dyDescent="0.25">
      <c r="A679" s="334">
        <v>21</v>
      </c>
      <c r="B679" s="335" t="s">
        <v>281</v>
      </c>
      <c r="C679" s="338" t="s">
        <v>1266</v>
      </c>
      <c r="D679" s="422"/>
    </row>
    <row r="680" spans="1:4" s="336" customFormat="1" x14ac:dyDescent="0.25">
      <c r="A680" s="334">
        <v>22</v>
      </c>
      <c r="B680" s="335" t="s">
        <v>280</v>
      </c>
      <c r="C680" s="338" t="s">
        <v>1265</v>
      </c>
      <c r="D680" s="422"/>
    </row>
    <row r="681" spans="1:4" s="336" customFormat="1" x14ac:dyDescent="0.25">
      <c r="A681" s="340">
        <v>23</v>
      </c>
      <c r="B681" s="335" t="s">
        <v>282</v>
      </c>
      <c r="C681" s="338" t="s">
        <v>1268</v>
      </c>
      <c r="D681" s="422"/>
    </row>
    <row r="682" spans="1:4" s="336" customFormat="1" x14ac:dyDescent="0.25">
      <c r="A682" s="340">
        <v>24</v>
      </c>
      <c r="B682" s="335" t="s">
        <v>283</v>
      </c>
      <c r="C682" s="338" t="s">
        <v>1267</v>
      </c>
      <c r="D682" s="422"/>
    </row>
    <row r="683" spans="1:4" s="336" customFormat="1" x14ac:dyDescent="0.25">
      <c r="A683" s="369">
        <v>25</v>
      </c>
      <c r="B683" s="335" t="s">
        <v>45</v>
      </c>
      <c r="C683" s="385"/>
      <c r="D683" s="422"/>
    </row>
    <row r="684" spans="1:4" s="336" customFormat="1" x14ac:dyDescent="0.25">
      <c r="A684" s="334"/>
      <c r="B684" s="351" t="s">
        <v>286</v>
      </c>
      <c r="C684" s="453"/>
      <c r="D684" s="422"/>
    </row>
    <row r="685" spans="1:4" s="336" customFormat="1" x14ac:dyDescent="0.25">
      <c r="A685" s="334">
        <v>1</v>
      </c>
      <c r="B685" s="350" t="s">
        <v>287</v>
      </c>
      <c r="C685" s="338" t="s">
        <v>1253</v>
      </c>
      <c r="D685" s="433"/>
    </row>
    <row r="686" spans="1:4" s="336" customFormat="1" x14ac:dyDescent="0.25">
      <c r="A686" s="334">
        <v>2</v>
      </c>
      <c r="B686" s="350" t="s">
        <v>288</v>
      </c>
      <c r="C686" s="338" t="s">
        <v>1254</v>
      </c>
      <c r="D686" s="433"/>
    </row>
    <row r="687" spans="1:4" s="336" customFormat="1" x14ac:dyDescent="0.25">
      <c r="A687" s="334">
        <v>3</v>
      </c>
      <c r="B687" s="350" t="s">
        <v>53</v>
      </c>
      <c r="C687" s="338" t="s">
        <v>1255</v>
      </c>
      <c r="D687" s="433"/>
    </row>
    <row r="688" spans="1:4" s="336" customFormat="1" x14ac:dyDescent="0.25">
      <c r="A688" s="334">
        <v>4</v>
      </c>
      <c r="B688" s="349" t="s">
        <v>215</v>
      </c>
      <c r="C688" s="338" t="s">
        <v>1256</v>
      </c>
      <c r="D688" s="433"/>
    </row>
    <row r="689" spans="1:4" s="336" customFormat="1" x14ac:dyDescent="0.25">
      <c r="A689" s="334">
        <v>5</v>
      </c>
      <c r="B689" s="350" t="s">
        <v>44</v>
      </c>
      <c r="C689" s="338" t="s">
        <v>1257</v>
      </c>
      <c r="D689" s="433"/>
    </row>
    <row r="690" spans="1:4" s="336" customFormat="1" x14ac:dyDescent="0.25">
      <c r="A690" s="370"/>
      <c r="B690" s="354" t="s">
        <v>1149</v>
      </c>
      <c r="C690" s="453"/>
      <c r="D690" s="422"/>
    </row>
    <row r="691" spans="1:4" s="336" customFormat="1" ht="26.25" x14ac:dyDescent="0.25">
      <c r="A691" s="340" t="s">
        <v>61</v>
      </c>
      <c r="B691" s="349" t="s">
        <v>293</v>
      </c>
      <c r="C691" s="338" t="s">
        <v>1278</v>
      </c>
      <c r="D691" s="422"/>
    </row>
    <row r="692" spans="1:4" s="336" customFormat="1" x14ac:dyDescent="0.25">
      <c r="A692" s="340" t="s">
        <v>63</v>
      </c>
      <c r="B692" s="350" t="s">
        <v>294</v>
      </c>
      <c r="C692" s="338" t="s">
        <v>1279</v>
      </c>
      <c r="D692" s="422"/>
    </row>
    <row r="693" spans="1:4" s="336" customFormat="1" x14ac:dyDescent="0.25">
      <c r="A693" s="340">
        <v>3</v>
      </c>
      <c r="B693" s="350" t="s">
        <v>53</v>
      </c>
      <c r="C693" s="338" t="s">
        <v>1280</v>
      </c>
      <c r="D693" s="422"/>
    </row>
    <row r="694" spans="1:4" s="336" customFormat="1" x14ac:dyDescent="0.25">
      <c r="A694" s="340">
        <v>4</v>
      </c>
      <c r="B694" s="350" t="s">
        <v>234</v>
      </c>
      <c r="C694" s="338" t="s">
        <v>1281</v>
      </c>
      <c r="D694" s="422"/>
    </row>
    <row r="695" spans="1:4" s="336" customFormat="1" x14ac:dyDescent="0.25">
      <c r="A695" s="340">
        <v>5</v>
      </c>
      <c r="B695" s="350" t="s">
        <v>44</v>
      </c>
      <c r="C695" s="338" t="s">
        <v>1282</v>
      </c>
      <c r="D695" s="422"/>
    </row>
    <row r="696" spans="1:4" s="336" customFormat="1" x14ac:dyDescent="0.25">
      <c r="A696" s="340">
        <v>6</v>
      </c>
      <c r="B696" s="350" t="s">
        <v>45</v>
      </c>
      <c r="C696" s="338" t="s">
        <v>1283</v>
      </c>
      <c r="D696" s="422"/>
    </row>
    <row r="697" spans="1:4" s="336" customFormat="1" x14ac:dyDescent="0.25">
      <c r="A697" s="334"/>
      <c r="B697" s="371" t="s">
        <v>923</v>
      </c>
      <c r="C697" s="338"/>
      <c r="D697" s="422"/>
    </row>
    <row r="698" spans="1:4" s="336" customFormat="1" x14ac:dyDescent="0.25">
      <c r="A698" s="334">
        <v>8</v>
      </c>
      <c r="B698" s="350" t="s">
        <v>81</v>
      </c>
      <c r="C698" s="338" t="s">
        <v>1284</v>
      </c>
      <c r="D698" s="422"/>
    </row>
    <row r="699" spans="1:4" s="336" customFormat="1" x14ac:dyDescent="0.25">
      <c r="A699" s="334">
        <v>9</v>
      </c>
      <c r="B699" s="349" t="s">
        <v>295</v>
      </c>
      <c r="C699" s="338" t="s">
        <v>1285</v>
      </c>
      <c r="D699" s="422"/>
    </row>
    <row r="700" spans="1:4" s="336" customFormat="1" x14ac:dyDescent="0.25">
      <c r="A700" s="334">
        <v>10</v>
      </c>
      <c r="B700" s="349" t="s">
        <v>485</v>
      </c>
      <c r="C700" s="338" t="s">
        <v>1286</v>
      </c>
      <c r="D700" s="422"/>
    </row>
    <row r="701" spans="1:4" s="336" customFormat="1" x14ac:dyDescent="0.25">
      <c r="A701" s="334">
        <v>11</v>
      </c>
      <c r="B701" s="350" t="s">
        <v>45</v>
      </c>
      <c r="C701" s="338" t="s">
        <v>1287</v>
      </c>
      <c r="D701" s="422"/>
    </row>
    <row r="702" spans="1:4" s="336" customFormat="1" x14ac:dyDescent="0.25">
      <c r="A702" s="340"/>
      <c r="B702" s="351" t="s">
        <v>239</v>
      </c>
      <c r="C702" s="453"/>
      <c r="D702" s="422"/>
    </row>
    <row r="703" spans="1:4" s="336" customFormat="1" x14ac:dyDescent="0.25">
      <c r="A703" s="340">
        <v>1</v>
      </c>
      <c r="B703" s="350" t="s">
        <v>240</v>
      </c>
      <c r="C703" s="338" t="s">
        <v>1059</v>
      </c>
      <c r="D703" s="422"/>
    </row>
    <row r="704" spans="1:4" s="336" customFormat="1" x14ac:dyDescent="0.25">
      <c r="A704" s="340">
        <v>2</v>
      </c>
      <c r="B704" s="350" t="s">
        <v>595</v>
      </c>
      <c r="C704" s="338" t="s">
        <v>1060</v>
      </c>
      <c r="D704" s="422"/>
    </row>
    <row r="705" spans="1:5" x14ac:dyDescent="0.25">
      <c r="A705" s="61">
        <v>3</v>
      </c>
      <c r="B705" s="76" t="s">
        <v>44</v>
      </c>
      <c r="C705" s="223"/>
      <c r="D705" s="421"/>
    </row>
    <row r="706" spans="1:5" s="336" customFormat="1" x14ac:dyDescent="0.25">
      <c r="A706" s="334">
        <v>4</v>
      </c>
      <c r="B706" s="350" t="s">
        <v>45</v>
      </c>
      <c r="C706" s="338" t="s">
        <v>1061</v>
      </c>
      <c r="D706" s="422"/>
    </row>
    <row r="707" spans="1:5" ht="26.25" x14ac:dyDescent="0.25">
      <c r="A707" s="61"/>
      <c r="B707" s="406" t="s">
        <v>521</v>
      </c>
      <c r="C707" s="260"/>
      <c r="D707" s="432" t="s">
        <v>925</v>
      </c>
      <c r="E707" s="372"/>
    </row>
    <row r="708" spans="1:5" ht="26.25" x14ac:dyDescent="0.25">
      <c r="A708" s="61">
        <v>1</v>
      </c>
      <c r="B708" s="88" t="s">
        <v>236</v>
      </c>
      <c r="C708" s="223"/>
      <c r="D708" s="405" t="s">
        <v>934</v>
      </c>
      <c r="E708" s="372" t="s">
        <v>935</v>
      </c>
    </row>
    <row r="709" spans="1:5" x14ac:dyDescent="0.25">
      <c r="A709" s="61">
        <v>2</v>
      </c>
      <c r="B709" s="88" t="s">
        <v>81</v>
      </c>
      <c r="C709" s="260"/>
      <c r="D709" s="405" t="s">
        <v>934</v>
      </c>
      <c r="E709" s="373" t="s">
        <v>936</v>
      </c>
    </row>
    <row r="710" spans="1:5" x14ac:dyDescent="0.25">
      <c r="A710" s="61">
        <v>3</v>
      </c>
      <c r="B710" s="76" t="s">
        <v>237</v>
      </c>
      <c r="C710" s="260"/>
      <c r="D710" s="405" t="s">
        <v>926</v>
      </c>
      <c r="E710" s="372"/>
    </row>
    <row r="711" spans="1:5" x14ac:dyDescent="0.25">
      <c r="A711" s="61">
        <v>4</v>
      </c>
      <c r="B711" s="76" t="s">
        <v>32</v>
      </c>
      <c r="C711" s="260"/>
      <c r="D711" s="432"/>
      <c r="E711" s="372"/>
    </row>
    <row r="712" spans="1:5" x14ac:dyDescent="0.25">
      <c r="A712" s="61">
        <v>5</v>
      </c>
      <c r="B712" s="76" t="s">
        <v>56</v>
      </c>
      <c r="C712" s="260"/>
      <c r="D712" s="432"/>
      <c r="E712" s="372"/>
    </row>
    <row r="713" spans="1:5" ht="26.25" x14ac:dyDescent="0.25">
      <c r="A713" s="61">
        <v>6</v>
      </c>
      <c r="B713" s="76" t="s">
        <v>90</v>
      </c>
      <c r="C713" s="260"/>
      <c r="D713" s="405" t="s">
        <v>1314</v>
      </c>
      <c r="E713" s="372"/>
    </row>
    <row r="714" spans="1:5" x14ac:dyDescent="0.25">
      <c r="A714" s="61">
        <v>7</v>
      </c>
      <c r="B714" s="76" t="s">
        <v>268</v>
      </c>
      <c r="C714" s="260"/>
      <c r="D714" s="405" t="s">
        <v>938</v>
      </c>
    </row>
    <row r="715" spans="1:5" x14ac:dyDescent="0.25">
      <c r="A715" s="61">
        <v>8</v>
      </c>
      <c r="B715" s="76" t="s">
        <v>59</v>
      </c>
      <c r="C715" s="260"/>
      <c r="D715" s="405" t="s">
        <v>937</v>
      </c>
    </row>
    <row r="716" spans="1:5" x14ac:dyDescent="0.25">
      <c r="A716" s="61">
        <v>9</v>
      </c>
      <c r="B716" s="76" t="s">
        <v>53</v>
      </c>
      <c r="C716" s="260"/>
      <c r="D716" s="405" t="s">
        <v>927</v>
      </c>
    </row>
    <row r="717" spans="1:5" x14ac:dyDescent="0.25">
      <c r="A717" s="61">
        <v>10</v>
      </c>
      <c r="B717" s="76" t="s">
        <v>64</v>
      </c>
      <c r="C717" s="260"/>
      <c r="D717" s="405" t="s">
        <v>931</v>
      </c>
    </row>
    <row r="718" spans="1:5" x14ac:dyDescent="0.25">
      <c r="A718" s="61">
        <v>11</v>
      </c>
      <c r="B718" s="76" t="s">
        <v>94</v>
      </c>
      <c r="C718" s="260"/>
      <c r="D718" s="421"/>
    </row>
    <row r="719" spans="1:5" x14ac:dyDescent="0.25">
      <c r="A719" s="61">
        <v>12</v>
      </c>
      <c r="B719" s="76" t="s">
        <v>96</v>
      </c>
      <c r="C719" s="260"/>
      <c r="D719" s="405" t="s">
        <v>928</v>
      </c>
    </row>
    <row r="720" spans="1:5" x14ac:dyDescent="0.25">
      <c r="A720" s="61">
        <v>13</v>
      </c>
      <c r="B720" s="76" t="s">
        <v>297</v>
      </c>
      <c r="C720" s="260"/>
      <c r="D720" s="405" t="s">
        <v>928</v>
      </c>
    </row>
    <row r="721" spans="1:4" x14ac:dyDescent="0.25">
      <c r="A721" s="61">
        <v>14</v>
      </c>
      <c r="B721" s="76" t="s">
        <v>44</v>
      </c>
      <c r="C721" s="260"/>
      <c r="D721" s="405" t="s">
        <v>929</v>
      </c>
    </row>
    <row r="722" spans="1:4" x14ac:dyDescent="0.25">
      <c r="A722" s="61">
        <v>15</v>
      </c>
      <c r="B722" s="76" t="s">
        <v>45</v>
      </c>
      <c r="C722" s="260"/>
      <c r="D722" s="405" t="s">
        <v>930</v>
      </c>
    </row>
    <row r="723" spans="1:4" x14ac:dyDescent="0.25">
      <c r="A723" s="61">
        <v>16</v>
      </c>
      <c r="B723" s="76" t="s">
        <v>269</v>
      </c>
      <c r="C723" s="260"/>
      <c r="D723" s="405" t="s">
        <v>932</v>
      </c>
    </row>
    <row r="724" spans="1:4" x14ac:dyDescent="0.25">
      <c r="A724" s="61">
        <v>17</v>
      </c>
      <c r="B724" s="76" t="s">
        <v>478</v>
      </c>
      <c r="C724" s="260"/>
      <c r="D724" s="421"/>
    </row>
    <row r="725" spans="1:4" x14ac:dyDescent="0.25">
      <c r="A725" s="61">
        <v>18</v>
      </c>
      <c r="B725" s="76" t="s">
        <v>189</v>
      </c>
      <c r="C725" s="260"/>
      <c r="D725" s="405" t="s">
        <v>933</v>
      </c>
    </row>
    <row r="726" spans="1:4" s="336" customFormat="1" x14ac:dyDescent="0.25">
      <c r="A726" s="340"/>
      <c r="B726" s="351" t="s">
        <v>245</v>
      </c>
      <c r="C726" s="453"/>
      <c r="D726" s="422"/>
    </row>
    <row r="727" spans="1:4" s="336" customFormat="1" x14ac:dyDescent="0.25">
      <c r="A727" s="340">
        <v>1</v>
      </c>
      <c r="B727" s="335" t="s">
        <v>246</v>
      </c>
      <c r="C727" s="338" t="s">
        <v>939</v>
      </c>
      <c r="D727" s="422"/>
    </row>
    <row r="728" spans="1:4" s="336" customFormat="1" x14ac:dyDescent="0.25">
      <c r="A728" s="340">
        <v>2</v>
      </c>
      <c r="B728" s="335" t="s">
        <v>45</v>
      </c>
      <c r="C728" s="338" t="s">
        <v>940</v>
      </c>
      <c r="D728" s="422"/>
    </row>
    <row r="729" spans="1:4" s="336" customFormat="1" x14ac:dyDescent="0.25">
      <c r="A729" s="340"/>
      <c r="B729" s="354" t="s">
        <v>247</v>
      </c>
      <c r="C729" s="453"/>
      <c r="D729" s="422"/>
    </row>
    <row r="730" spans="1:4" s="336" customFormat="1" x14ac:dyDescent="0.25">
      <c r="A730" s="340">
        <v>1</v>
      </c>
      <c r="B730" s="349" t="s">
        <v>248</v>
      </c>
      <c r="C730" s="338" t="s">
        <v>879</v>
      </c>
      <c r="D730" s="422"/>
    </row>
    <row r="731" spans="1:4" s="336" customFormat="1" x14ac:dyDescent="0.25">
      <c r="A731" s="340">
        <v>2</v>
      </c>
      <c r="B731" s="350" t="s">
        <v>249</v>
      </c>
      <c r="C731" s="338" t="s">
        <v>880</v>
      </c>
      <c r="D731" s="422"/>
    </row>
    <row r="732" spans="1:4" x14ac:dyDescent="0.25">
      <c r="A732" s="61">
        <v>3</v>
      </c>
      <c r="B732" s="76" t="s">
        <v>660</v>
      </c>
      <c r="C732" s="223"/>
      <c r="D732" s="421"/>
    </row>
    <row r="733" spans="1:4" s="336" customFormat="1" x14ac:dyDescent="0.25">
      <c r="A733" s="340"/>
      <c r="B733" s="354" t="s">
        <v>98</v>
      </c>
      <c r="C733" s="338"/>
      <c r="D733" s="422"/>
    </row>
    <row r="734" spans="1:4" s="336" customFormat="1" x14ac:dyDescent="0.25">
      <c r="A734" s="340">
        <v>1</v>
      </c>
      <c r="B734" s="349" t="s">
        <v>101</v>
      </c>
      <c r="C734" s="338" t="s">
        <v>881</v>
      </c>
      <c r="D734" s="422"/>
    </row>
    <row r="735" spans="1:4" s="336" customFormat="1" ht="26.25" x14ac:dyDescent="0.25">
      <c r="A735" s="340">
        <v>2</v>
      </c>
      <c r="B735" s="349" t="s">
        <v>298</v>
      </c>
      <c r="C735" s="338" t="s">
        <v>882</v>
      </c>
      <c r="D735" s="422"/>
    </row>
    <row r="736" spans="1:4" s="336" customFormat="1" x14ac:dyDescent="0.25">
      <c r="A736" s="340">
        <v>3</v>
      </c>
      <c r="B736" s="355" t="s">
        <v>102</v>
      </c>
      <c r="C736" s="338" t="s">
        <v>883</v>
      </c>
      <c r="D736" s="422"/>
    </row>
    <row r="737" spans="1:4" s="336" customFormat="1" x14ac:dyDescent="0.25">
      <c r="A737" s="340">
        <v>4</v>
      </c>
      <c r="B737" s="355" t="s">
        <v>103</v>
      </c>
      <c r="C737" s="338" t="s">
        <v>884</v>
      </c>
      <c r="D737" s="422"/>
    </row>
    <row r="738" spans="1:4" s="336" customFormat="1" x14ac:dyDescent="0.25">
      <c r="A738" s="340">
        <v>5</v>
      </c>
      <c r="B738" s="355" t="s">
        <v>100</v>
      </c>
      <c r="C738" s="338" t="s">
        <v>885</v>
      </c>
      <c r="D738" s="422"/>
    </row>
    <row r="739" spans="1:4" s="336" customFormat="1" x14ac:dyDescent="0.25">
      <c r="A739" s="340">
        <v>6</v>
      </c>
      <c r="B739" s="355" t="s">
        <v>299</v>
      </c>
      <c r="C739" s="338" t="s">
        <v>886</v>
      </c>
      <c r="D739" s="422"/>
    </row>
    <row r="740" spans="1:4" s="336" customFormat="1" x14ac:dyDescent="0.25">
      <c r="A740" s="340">
        <v>7</v>
      </c>
      <c r="B740" s="355" t="s">
        <v>253</v>
      </c>
      <c r="C740" s="338" t="s">
        <v>887</v>
      </c>
      <c r="D740" s="422"/>
    </row>
    <row r="741" spans="1:4" s="336" customFormat="1" x14ac:dyDescent="0.25">
      <c r="A741" s="340">
        <v>8</v>
      </c>
      <c r="B741" s="350" t="s">
        <v>104</v>
      </c>
      <c r="C741" s="338" t="s">
        <v>888</v>
      </c>
      <c r="D741" s="422"/>
    </row>
    <row r="742" spans="1:4" s="336" customFormat="1" x14ac:dyDescent="0.25">
      <c r="A742" s="340">
        <v>9</v>
      </c>
      <c r="B742" s="355" t="s">
        <v>105</v>
      </c>
      <c r="C742" s="338" t="s">
        <v>889</v>
      </c>
      <c r="D742" s="422"/>
    </row>
    <row r="743" spans="1:4" s="336" customFormat="1" x14ac:dyDescent="0.25">
      <c r="A743" s="340">
        <v>10</v>
      </c>
      <c r="B743" s="355" t="s">
        <v>252</v>
      </c>
      <c r="C743" s="338" t="s">
        <v>890</v>
      </c>
      <c r="D743" s="422"/>
    </row>
    <row r="744" spans="1:4" s="336" customFormat="1" x14ac:dyDescent="0.25">
      <c r="A744" s="340">
        <v>11</v>
      </c>
      <c r="B744" s="355" t="s">
        <v>106</v>
      </c>
      <c r="C744" s="338" t="s">
        <v>891</v>
      </c>
      <c r="D744" s="422"/>
    </row>
    <row r="745" spans="1:4" s="336" customFormat="1" ht="26.25" x14ac:dyDescent="0.25">
      <c r="A745" s="340">
        <v>12</v>
      </c>
      <c r="B745" s="339" t="s">
        <v>664</v>
      </c>
      <c r="C745" s="385" t="s">
        <v>1193</v>
      </c>
      <c r="D745" s="422"/>
    </row>
    <row r="746" spans="1:4" s="336" customFormat="1" x14ac:dyDescent="0.25">
      <c r="A746" s="340">
        <v>13</v>
      </c>
      <c r="B746" s="355" t="s">
        <v>108</v>
      </c>
      <c r="C746" s="338" t="s">
        <v>892</v>
      </c>
      <c r="D746" s="422"/>
    </row>
    <row r="747" spans="1:4" x14ac:dyDescent="0.25">
      <c r="A747" s="61"/>
      <c r="B747" s="408" t="s">
        <v>534</v>
      </c>
      <c r="C747" s="271"/>
      <c r="D747" s="421"/>
    </row>
    <row r="748" spans="1:4" x14ac:dyDescent="0.25">
      <c r="A748" s="61">
        <v>13</v>
      </c>
      <c r="B748" s="76" t="s">
        <v>257</v>
      </c>
      <c r="C748" s="260"/>
      <c r="D748" s="421"/>
    </row>
    <row r="749" spans="1:4" x14ac:dyDescent="0.25">
      <c r="A749" s="61">
        <v>14</v>
      </c>
      <c r="B749" s="60" t="s">
        <v>259</v>
      </c>
      <c r="C749" s="260"/>
      <c r="D749" s="421"/>
    </row>
    <row r="750" spans="1:4" x14ac:dyDescent="0.25">
      <c r="A750" s="61">
        <v>15</v>
      </c>
      <c r="B750" s="60" t="s">
        <v>260</v>
      </c>
      <c r="C750" s="260"/>
      <c r="D750" s="421"/>
    </row>
    <row r="751" spans="1:4" x14ac:dyDescent="0.25">
      <c r="A751" s="61">
        <v>1</v>
      </c>
      <c r="B751" s="201" t="s">
        <v>487</v>
      </c>
      <c r="C751" s="223" t="s">
        <v>893</v>
      </c>
      <c r="D751" s="432" t="s">
        <v>924</v>
      </c>
    </row>
    <row r="752" spans="1:4" ht="18.75" x14ac:dyDescent="0.3">
      <c r="A752" s="56"/>
      <c r="B752" s="283" t="s">
        <v>607</v>
      </c>
      <c r="C752" s="455"/>
      <c r="D752" s="421"/>
    </row>
    <row r="753" spans="1:4" x14ac:dyDescent="0.25">
      <c r="A753" s="56"/>
      <c r="B753" s="62" t="s">
        <v>15</v>
      </c>
      <c r="C753" s="455"/>
      <c r="D753" s="421"/>
    </row>
    <row r="754" spans="1:4" x14ac:dyDescent="0.25">
      <c r="A754" s="56">
        <v>1</v>
      </c>
      <c r="B754" s="76" t="s">
        <v>263</v>
      </c>
      <c r="C754" s="223"/>
      <c r="D754" s="421"/>
    </row>
    <row r="755" spans="1:4" x14ac:dyDescent="0.25">
      <c r="A755" s="56">
        <v>2</v>
      </c>
      <c r="B755" s="88" t="s">
        <v>207</v>
      </c>
      <c r="C755" s="223"/>
      <c r="D755" s="421"/>
    </row>
    <row r="756" spans="1:4" ht="26.25" x14ac:dyDescent="0.25">
      <c r="A756" s="56">
        <v>3</v>
      </c>
      <c r="B756" s="88" t="s">
        <v>206</v>
      </c>
      <c r="C756" s="223"/>
      <c r="D756" s="421"/>
    </row>
    <row r="757" spans="1:4" x14ac:dyDescent="0.25">
      <c r="A757" s="56">
        <v>4</v>
      </c>
      <c r="B757" s="88" t="s">
        <v>81</v>
      </c>
      <c r="C757" s="223" t="s">
        <v>1034</v>
      </c>
      <c r="D757" s="421"/>
    </row>
    <row r="758" spans="1:4" x14ac:dyDescent="0.25">
      <c r="A758" s="61">
        <v>5</v>
      </c>
      <c r="B758" s="86" t="s">
        <v>43</v>
      </c>
      <c r="C758" s="223"/>
      <c r="D758" s="421"/>
    </row>
    <row r="759" spans="1:4" x14ac:dyDescent="0.25">
      <c r="A759" s="56"/>
      <c r="B759" s="406" t="s">
        <v>46</v>
      </c>
      <c r="C759" s="271"/>
      <c r="D759" s="436"/>
    </row>
    <row r="760" spans="1:4" x14ac:dyDescent="0.25">
      <c r="A760" s="56">
        <v>1</v>
      </c>
      <c r="B760" s="70" t="s">
        <v>24</v>
      </c>
      <c r="C760" s="260"/>
      <c r="D760" s="436"/>
    </row>
    <row r="761" spans="1:4" x14ac:dyDescent="0.25">
      <c r="A761" s="56">
        <v>2</v>
      </c>
      <c r="B761" s="65" t="s">
        <v>35</v>
      </c>
      <c r="C761" s="223"/>
      <c r="D761" s="436"/>
    </row>
    <row r="762" spans="1:4" s="336" customFormat="1" x14ac:dyDescent="0.25">
      <c r="A762" s="340"/>
      <c r="B762" s="374" t="s">
        <v>956</v>
      </c>
      <c r="C762" s="456"/>
      <c r="D762" s="422"/>
    </row>
    <row r="763" spans="1:4" s="336" customFormat="1" x14ac:dyDescent="0.25">
      <c r="A763" s="340">
        <v>1</v>
      </c>
      <c r="B763" s="391" t="s">
        <v>209</v>
      </c>
      <c r="C763" s="338" t="s">
        <v>957</v>
      </c>
      <c r="D763" s="422"/>
    </row>
    <row r="764" spans="1:4" s="336" customFormat="1" x14ac:dyDescent="0.25">
      <c r="A764" s="334">
        <v>2</v>
      </c>
      <c r="B764" s="391" t="s">
        <v>32</v>
      </c>
      <c r="C764" s="338" t="s">
        <v>958</v>
      </c>
      <c r="D764" s="422"/>
    </row>
    <row r="765" spans="1:4" s="336" customFormat="1" x14ac:dyDescent="0.25">
      <c r="A765" s="369"/>
      <c r="B765" s="391" t="s">
        <v>59</v>
      </c>
      <c r="C765" s="338" t="s">
        <v>959</v>
      </c>
      <c r="D765" s="422"/>
    </row>
    <row r="766" spans="1:4" x14ac:dyDescent="0.25">
      <c r="A766" s="61">
        <v>3</v>
      </c>
      <c r="B766" s="288" t="s">
        <v>145</v>
      </c>
      <c r="C766" s="260"/>
      <c r="D766" s="421"/>
    </row>
    <row r="767" spans="1:4" s="336" customFormat="1" x14ac:dyDescent="0.25">
      <c r="A767" s="340">
        <v>4</v>
      </c>
      <c r="B767" s="391" t="s">
        <v>56</v>
      </c>
      <c r="C767" s="338" t="s">
        <v>960</v>
      </c>
      <c r="D767" s="422"/>
    </row>
    <row r="768" spans="1:4" s="336" customFormat="1" x14ac:dyDescent="0.25">
      <c r="A768" s="340">
        <v>5</v>
      </c>
      <c r="B768" s="391" t="s">
        <v>147</v>
      </c>
      <c r="C768" s="338" t="s">
        <v>961</v>
      </c>
      <c r="D768" s="422"/>
    </row>
    <row r="769" spans="1:4" s="336" customFormat="1" x14ac:dyDescent="0.25">
      <c r="A769" s="334">
        <v>6</v>
      </c>
      <c r="B769" s="391" t="s">
        <v>53</v>
      </c>
      <c r="C769" s="338" t="s">
        <v>962</v>
      </c>
      <c r="D769" s="422"/>
    </row>
    <row r="770" spans="1:4" s="336" customFormat="1" x14ac:dyDescent="0.25">
      <c r="A770" s="340">
        <v>7</v>
      </c>
      <c r="B770" s="391" t="s">
        <v>210</v>
      </c>
      <c r="C770" s="338" t="s">
        <v>963</v>
      </c>
      <c r="D770" s="422"/>
    </row>
    <row r="771" spans="1:4" s="336" customFormat="1" x14ac:dyDescent="0.25">
      <c r="A771" s="340">
        <v>8</v>
      </c>
      <c r="B771" s="391" t="s">
        <v>94</v>
      </c>
      <c r="C771" s="338" t="s">
        <v>964</v>
      </c>
      <c r="D771" s="422"/>
    </row>
    <row r="772" spans="1:4" s="336" customFormat="1" x14ac:dyDescent="0.25">
      <c r="A772" s="340">
        <v>9</v>
      </c>
      <c r="B772" s="391" t="s">
        <v>44</v>
      </c>
      <c r="C772" s="338" t="s">
        <v>965</v>
      </c>
      <c r="D772" s="422"/>
    </row>
    <row r="773" spans="1:4" s="336" customFormat="1" x14ac:dyDescent="0.25">
      <c r="A773" s="340">
        <v>10</v>
      </c>
      <c r="B773" s="391" t="s">
        <v>45</v>
      </c>
      <c r="C773" s="338" t="s">
        <v>966</v>
      </c>
      <c r="D773" s="422"/>
    </row>
    <row r="774" spans="1:4" s="336" customFormat="1" x14ac:dyDescent="0.25">
      <c r="A774" s="340"/>
      <c r="B774" s="392" t="s">
        <v>610</v>
      </c>
      <c r="C774" s="453"/>
      <c r="D774" s="422"/>
    </row>
    <row r="775" spans="1:4" s="336" customFormat="1" ht="26.25" x14ac:dyDescent="0.25">
      <c r="A775" s="340">
        <v>1</v>
      </c>
      <c r="B775" s="365" t="s">
        <v>301</v>
      </c>
      <c r="C775" s="338" t="s">
        <v>1075</v>
      </c>
      <c r="D775" s="422"/>
    </row>
    <row r="776" spans="1:4" s="336" customFormat="1" x14ac:dyDescent="0.25">
      <c r="A776" s="340">
        <v>2</v>
      </c>
      <c r="B776" s="391" t="s">
        <v>302</v>
      </c>
      <c r="C776" s="338" t="s">
        <v>1076</v>
      </c>
      <c r="D776" s="422"/>
    </row>
    <row r="777" spans="1:4" s="336" customFormat="1" x14ac:dyDescent="0.25">
      <c r="A777" s="340">
        <v>3</v>
      </c>
      <c r="B777" s="391" t="s">
        <v>303</v>
      </c>
      <c r="C777" s="338" t="s">
        <v>1077</v>
      </c>
      <c r="D777" s="433"/>
    </row>
    <row r="778" spans="1:4" s="336" customFormat="1" x14ac:dyDescent="0.25">
      <c r="A778" s="334">
        <v>4</v>
      </c>
      <c r="B778" s="391" t="s">
        <v>53</v>
      </c>
      <c r="C778" s="338" t="s">
        <v>1078</v>
      </c>
      <c r="D778" s="422"/>
    </row>
    <row r="779" spans="1:4" s="336" customFormat="1" x14ac:dyDescent="0.25">
      <c r="A779" s="340">
        <v>5</v>
      </c>
      <c r="B779" s="391" t="s">
        <v>210</v>
      </c>
      <c r="C779" s="338" t="s">
        <v>1079</v>
      </c>
      <c r="D779" s="422"/>
    </row>
    <row r="780" spans="1:4" s="336" customFormat="1" x14ac:dyDescent="0.25">
      <c r="A780" s="340">
        <v>6</v>
      </c>
      <c r="B780" s="391" t="s">
        <v>94</v>
      </c>
      <c r="C780" s="338" t="s">
        <v>1080</v>
      </c>
      <c r="D780" s="422"/>
    </row>
    <row r="781" spans="1:4" s="336" customFormat="1" x14ac:dyDescent="0.25">
      <c r="A781" s="340">
        <v>7</v>
      </c>
      <c r="B781" s="391" t="s">
        <v>213</v>
      </c>
      <c r="C781" s="338" t="s">
        <v>1081</v>
      </c>
      <c r="D781" s="422"/>
    </row>
    <row r="782" spans="1:4" s="336" customFormat="1" x14ac:dyDescent="0.25">
      <c r="A782" s="340">
        <v>8</v>
      </c>
      <c r="B782" s="391" t="s">
        <v>44</v>
      </c>
      <c r="C782" s="338" t="s">
        <v>1082</v>
      </c>
      <c r="D782" s="422"/>
    </row>
    <row r="783" spans="1:4" s="336" customFormat="1" x14ac:dyDescent="0.25">
      <c r="A783" s="340">
        <v>9</v>
      </c>
      <c r="B783" s="391" t="s">
        <v>45</v>
      </c>
      <c r="C783" s="338" t="s">
        <v>1083</v>
      </c>
      <c r="D783" s="422"/>
    </row>
    <row r="784" spans="1:4" s="336" customFormat="1" x14ac:dyDescent="0.25">
      <c r="A784" s="340"/>
      <c r="B784" s="364" t="s">
        <v>612</v>
      </c>
      <c r="C784" s="385"/>
      <c r="D784" s="422"/>
    </row>
    <row r="785" spans="1:4" s="336" customFormat="1" x14ac:dyDescent="0.25">
      <c r="A785" s="340">
        <v>1</v>
      </c>
      <c r="B785" s="391" t="s">
        <v>304</v>
      </c>
      <c r="C785" s="338" t="s">
        <v>967</v>
      </c>
      <c r="D785" s="422"/>
    </row>
    <row r="786" spans="1:4" s="336" customFormat="1" x14ac:dyDescent="0.25">
      <c r="A786" s="340">
        <v>2</v>
      </c>
      <c r="B786" s="391" t="s">
        <v>83</v>
      </c>
      <c r="C786" s="338" t="s">
        <v>968</v>
      </c>
      <c r="D786" s="422"/>
    </row>
    <row r="787" spans="1:4" x14ac:dyDescent="0.25">
      <c r="A787" s="61">
        <v>3</v>
      </c>
      <c r="B787" s="288" t="s">
        <v>66</v>
      </c>
      <c r="C787" s="223"/>
      <c r="D787" s="421"/>
    </row>
    <row r="788" spans="1:4" s="336" customFormat="1" x14ac:dyDescent="0.25">
      <c r="A788" s="340">
        <v>4</v>
      </c>
      <c r="B788" s="391" t="s">
        <v>53</v>
      </c>
      <c r="C788" s="338" t="s">
        <v>969</v>
      </c>
      <c r="D788" s="422"/>
    </row>
    <row r="789" spans="1:4" s="336" customFormat="1" x14ac:dyDescent="0.25">
      <c r="A789" s="340">
        <v>5</v>
      </c>
      <c r="B789" s="391" t="s">
        <v>210</v>
      </c>
      <c r="C789" s="338" t="s">
        <v>970</v>
      </c>
      <c r="D789" s="422"/>
    </row>
    <row r="790" spans="1:4" s="336" customFormat="1" x14ac:dyDescent="0.25">
      <c r="A790" s="340">
        <v>6</v>
      </c>
      <c r="B790" s="391" t="s">
        <v>213</v>
      </c>
      <c r="C790" s="338" t="s">
        <v>971</v>
      </c>
      <c r="D790" s="422"/>
    </row>
    <row r="791" spans="1:4" s="336" customFormat="1" x14ac:dyDescent="0.25">
      <c r="A791" s="340">
        <v>7</v>
      </c>
      <c r="B791" s="391" t="s">
        <v>94</v>
      </c>
      <c r="C791" s="338" t="s">
        <v>972</v>
      </c>
      <c r="D791" s="422"/>
    </row>
    <row r="792" spans="1:4" s="336" customFormat="1" x14ac:dyDescent="0.25">
      <c r="A792" s="340">
        <v>8</v>
      </c>
      <c r="B792" s="391" t="s">
        <v>44</v>
      </c>
      <c r="C792" s="338" t="s">
        <v>973</v>
      </c>
      <c r="D792" s="422"/>
    </row>
    <row r="793" spans="1:4" s="336" customFormat="1" x14ac:dyDescent="0.25">
      <c r="A793" s="340">
        <v>9</v>
      </c>
      <c r="B793" s="391" t="s">
        <v>45</v>
      </c>
      <c r="C793" s="338" t="s">
        <v>974</v>
      </c>
      <c r="D793" s="422"/>
    </row>
    <row r="794" spans="1:4" s="336" customFormat="1" x14ac:dyDescent="0.25">
      <c r="A794" s="334"/>
      <c r="B794" s="351" t="s">
        <v>585</v>
      </c>
      <c r="C794" s="453"/>
      <c r="D794" s="422"/>
    </row>
    <row r="795" spans="1:4" s="336" customFormat="1" x14ac:dyDescent="0.25">
      <c r="A795" s="340">
        <v>1</v>
      </c>
      <c r="B795" s="391" t="s">
        <v>304</v>
      </c>
      <c r="C795" s="338" t="s">
        <v>1084</v>
      </c>
      <c r="D795" s="422"/>
    </row>
    <row r="796" spans="1:4" s="336" customFormat="1" x14ac:dyDescent="0.25">
      <c r="A796" s="340">
        <v>2</v>
      </c>
      <c r="B796" s="391" t="s">
        <v>66</v>
      </c>
      <c r="C796" s="338" t="s">
        <v>1085</v>
      </c>
      <c r="D796" s="422"/>
    </row>
    <row r="797" spans="1:4" s="336" customFormat="1" x14ac:dyDescent="0.25">
      <c r="A797" s="340">
        <v>3</v>
      </c>
      <c r="B797" s="391" t="s">
        <v>53</v>
      </c>
      <c r="C797" s="338" t="s">
        <v>1086</v>
      </c>
      <c r="D797" s="422"/>
    </row>
    <row r="798" spans="1:4" s="336" customFormat="1" x14ac:dyDescent="0.25">
      <c r="A798" s="340">
        <v>4</v>
      </c>
      <c r="B798" s="391" t="s">
        <v>210</v>
      </c>
      <c r="C798" s="338" t="s">
        <v>1087</v>
      </c>
      <c r="D798" s="422"/>
    </row>
    <row r="799" spans="1:4" s="336" customFormat="1" x14ac:dyDescent="0.25">
      <c r="A799" s="340">
        <v>5</v>
      </c>
      <c r="B799" s="391" t="s">
        <v>213</v>
      </c>
      <c r="C799" s="338" t="s">
        <v>1089</v>
      </c>
      <c r="D799" s="422"/>
    </row>
    <row r="800" spans="1:4" s="336" customFormat="1" x14ac:dyDescent="0.25">
      <c r="A800" s="340">
        <v>6</v>
      </c>
      <c r="B800" s="391" t="s">
        <v>94</v>
      </c>
      <c r="C800" s="338" t="s">
        <v>1088</v>
      </c>
      <c r="D800" s="422"/>
    </row>
    <row r="801" spans="1:4" s="336" customFormat="1" x14ac:dyDescent="0.25">
      <c r="A801" s="340">
        <v>7</v>
      </c>
      <c r="B801" s="391" t="s">
        <v>44</v>
      </c>
      <c r="C801" s="338" t="s">
        <v>1090</v>
      </c>
      <c r="D801" s="422"/>
    </row>
    <row r="802" spans="1:4" s="336" customFormat="1" x14ac:dyDescent="0.25">
      <c r="A802" s="340">
        <v>8</v>
      </c>
      <c r="B802" s="391" t="s">
        <v>45</v>
      </c>
      <c r="C802" s="338" t="s">
        <v>1091</v>
      </c>
      <c r="D802" s="422"/>
    </row>
    <row r="803" spans="1:4" s="336" customFormat="1" x14ac:dyDescent="0.25">
      <c r="A803" s="340"/>
      <c r="B803" s="364" t="s">
        <v>151</v>
      </c>
      <c r="C803" s="387"/>
      <c r="D803" s="422"/>
    </row>
    <row r="804" spans="1:4" s="336" customFormat="1" x14ac:dyDescent="0.25">
      <c r="A804" s="393">
        <v>1</v>
      </c>
      <c r="B804" s="365" t="s">
        <v>152</v>
      </c>
      <c r="C804" s="338" t="s">
        <v>985</v>
      </c>
      <c r="D804" s="422"/>
    </row>
    <row r="805" spans="1:4" s="336" customFormat="1" x14ac:dyDescent="0.25">
      <c r="A805" s="393">
        <v>2</v>
      </c>
      <c r="B805" s="365" t="s">
        <v>305</v>
      </c>
      <c r="C805" s="338" t="s">
        <v>986</v>
      </c>
      <c r="D805" s="422"/>
    </row>
    <row r="806" spans="1:4" s="336" customFormat="1" x14ac:dyDescent="0.25">
      <c r="A806" s="393">
        <v>3</v>
      </c>
      <c r="B806" s="365" t="s">
        <v>53</v>
      </c>
      <c r="C806" s="338" t="s">
        <v>987</v>
      </c>
      <c r="D806" s="422"/>
    </row>
    <row r="807" spans="1:4" s="336" customFormat="1" x14ac:dyDescent="0.25">
      <c r="A807" s="393">
        <v>4</v>
      </c>
      <c r="B807" s="365" t="s">
        <v>210</v>
      </c>
      <c r="C807" s="338" t="s">
        <v>988</v>
      </c>
      <c r="D807" s="422"/>
    </row>
    <row r="808" spans="1:4" s="336" customFormat="1" x14ac:dyDescent="0.25">
      <c r="A808" s="393">
        <v>5</v>
      </c>
      <c r="B808" s="365" t="s">
        <v>94</v>
      </c>
      <c r="C808" s="338" t="s">
        <v>989</v>
      </c>
      <c r="D808" s="422"/>
    </row>
    <row r="809" spans="1:4" s="336" customFormat="1" x14ac:dyDescent="0.25">
      <c r="A809" s="394">
        <v>6</v>
      </c>
      <c r="B809" s="365" t="s">
        <v>213</v>
      </c>
      <c r="C809" s="338" t="s">
        <v>990</v>
      </c>
      <c r="D809" s="422"/>
    </row>
    <row r="810" spans="1:4" s="336" customFormat="1" x14ac:dyDescent="0.25">
      <c r="A810" s="340">
        <v>7</v>
      </c>
      <c r="B810" s="365" t="s">
        <v>44</v>
      </c>
      <c r="C810" s="338" t="s">
        <v>991</v>
      </c>
      <c r="D810" s="422"/>
    </row>
    <row r="811" spans="1:4" s="336" customFormat="1" x14ac:dyDescent="0.25">
      <c r="A811" s="340">
        <v>8</v>
      </c>
      <c r="B811" s="365" t="s">
        <v>45</v>
      </c>
      <c r="C811" s="338" t="s">
        <v>992</v>
      </c>
      <c r="D811" s="422"/>
    </row>
    <row r="812" spans="1:4" s="336" customFormat="1" x14ac:dyDescent="0.25">
      <c r="A812" s="340"/>
      <c r="B812" s="364" t="s">
        <v>507</v>
      </c>
      <c r="C812" s="385"/>
      <c r="D812" s="422"/>
    </row>
    <row r="813" spans="1:4" s="336" customFormat="1" x14ac:dyDescent="0.25">
      <c r="A813" s="340" t="s">
        <v>61</v>
      </c>
      <c r="B813" s="395" t="s">
        <v>308</v>
      </c>
      <c r="C813" s="338" t="s">
        <v>941</v>
      </c>
      <c r="D813" s="422"/>
    </row>
    <row r="814" spans="1:4" s="336" customFormat="1" x14ac:dyDescent="0.25">
      <c r="A814" s="340" t="s">
        <v>63</v>
      </c>
      <c r="B814" s="350" t="s">
        <v>223</v>
      </c>
      <c r="C814" s="338" t="s">
        <v>942</v>
      </c>
      <c r="D814" s="422"/>
    </row>
    <row r="815" spans="1:4" s="336" customFormat="1" x14ac:dyDescent="0.25">
      <c r="A815" s="340">
        <v>3</v>
      </c>
      <c r="B815" s="350" t="s">
        <v>53</v>
      </c>
      <c r="C815" s="338" t="s">
        <v>943</v>
      </c>
      <c r="D815" s="422"/>
    </row>
    <row r="816" spans="1:4" s="336" customFormat="1" x14ac:dyDescent="0.25">
      <c r="A816" s="340">
        <v>4</v>
      </c>
      <c r="B816" s="350" t="s">
        <v>210</v>
      </c>
      <c r="C816" s="338" t="s">
        <v>944</v>
      </c>
      <c r="D816" s="422"/>
    </row>
    <row r="817" spans="1:4" s="336" customFormat="1" x14ac:dyDescent="0.25">
      <c r="A817" s="340">
        <v>5</v>
      </c>
      <c r="B817" s="350" t="s">
        <v>213</v>
      </c>
      <c r="C817" s="338" t="s">
        <v>945</v>
      </c>
      <c r="D817" s="422"/>
    </row>
    <row r="818" spans="1:4" s="336" customFormat="1" x14ac:dyDescent="0.25">
      <c r="A818" s="340">
        <v>6</v>
      </c>
      <c r="B818" s="350" t="s">
        <v>94</v>
      </c>
      <c r="C818" s="338" t="s">
        <v>946</v>
      </c>
      <c r="D818" s="422"/>
    </row>
    <row r="819" spans="1:4" s="336" customFormat="1" x14ac:dyDescent="0.25">
      <c r="A819" s="340">
        <v>7</v>
      </c>
      <c r="B819" s="350" t="s">
        <v>44</v>
      </c>
      <c r="C819" s="338" t="s">
        <v>947</v>
      </c>
      <c r="D819" s="422"/>
    </row>
    <row r="820" spans="1:4" s="336" customFormat="1" x14ac:dyDescent="0.25">
      <c r="A820" s="340">
        <v>8</v>
      </c>
      <c r="B820" s="350" t="s">
        <v>45</v>
      </c>
      <c r="C820" s="338" t="s">
        <v>948</v>
      </c>
      <c r="D820" s="422"/>
    </row>
    <row r="821" spans="1:4" s="336" customFormat="1" x14ac:dyDescent="0.25">
      <c r="A821" s="340"/>
      <c r="B821" s="351" t="s">
        <v>516</v>
      </c>
      <c r="C821" s="453"/>
      <c r="D821" s="422"/>
    </row>
    <row r="822" spans="1:4" s="336" customFormat="1" x14ac:dyDescent="0.25">
      <c r="A822" s="340">
        <v>1</v>
      </c>
      <c r="B822" s="391" t="s">
        <v>216</v>
      </c>
      <c r="C822" s="338" t="s">
        <v>1065</v>
      </c>
      <c r="D822" s="422"/>
    </row>
    <row r="823" spans="1:4" s="336" customFormat="1" x14ac:dyDescent="0.25">
      <c r="A823" s="340">
        <v>2</v>
      </c>
      <c r="B823" s="391" t="s">
        <v>68</v>
      </c>
      <c r="C823" s="338" t="s">
        <v>1066</v>
      </c>
      <c r="D823" s="422"/>
    </row>
    <row r="824" spans="1:4" s="336" customFormat="1" x14ac:dyDescent="0.25">
      <c r="A824" s="340">
        <v>3</v>
      </c>
      <c r="B824" s="391" t="s">
        <v>66</v>
      </c>
      <c r="C824" s="338" t="s">
        <v>1067</v>
      </c>
      <c r="D824" s="422"/>
    </row>
    <row r="825" spans="1:4" s="336" customFormat="1" x14ac:dyDescent="0.25">
      <c r="A825" s="340">
        <v>4</v>
      </c>
      <c r="B825" s="391" t="s">
        <v>309</v>
      </c>
      <c r="C825" s="338" t="s">
        <v>1068</v>
      </c>
      <c r="D825" s="422"/>
    </row>
    <row r="826" spans="1:4" s="336" customFormat="1" x14ac:dyDescent="0.25">
      <c r="A826" s="340">
        <v>5</v>
      </c>
      <c r="B826" s="391" t="s">
        <v>53</v>
      </c>
      <c r="C826" s="338" t="s">
        <v>1069</v>
      </c>
      <c r="D826" s="422"/>
    </row>
    <row r="827" spans="1:4" s="336" customFormat="1" x14ac:dyDescent="0.25">
      <c r="A827" s="340">
        <v>6</v>
      </c>
      <c r="B827" s="391" t="s">
        <v>210</v>
      </c>
      <c r="C827" s="338" t="s">
        <v>1070</v>
      </c>
      <c r="D827" s="422"/>
    </row>
    <row r="828" spans="1:4" s="336" customFormat="1" x14ac:dyDescent="0.25">
      <c r="A828" s="340">
        <v>7</v>
      </c>
      <c r="B828" s="391" t="s">
        <v>94</v>
      </c>
      <c r="C828" s="338" t="s">
        <v>1071</v>
      </c>
      <c r="D828" s="422"/>
    </row>
    <row r="829" spans="1:4" s="336" customFormat="1" x14ac:dyDescent="0.25">
      <c r="A829" s="334">
        <v>8</v>
      </c>
      <c r="B829" s="391" t="s">
        <v>310</v>
      </c>
      <c r="C829" s="338" t="s">
        <v>1072</v>
      </c>
      <c r="D829" s="422"/>
    </row>
    <row r="830" spans="1:4" s="336" customFormat="1" x14ac:dyDescent="0.25">
      <c r="A830" s="340">
        <v>9</v>
      </c>
      <c r="B830" s="391" t="s">
        <v>44</v>
      </c>
      <c r="C830" s="338" t="s">
        <v>1073</v>
      </c>
      <c r="D830" s="422"/>
    </row>
    <row r="831" spans="1:4" s="336" customFormat="1" x14ac:dyDescent="0.25">
      <c r="A831" s="340">
        <v>10</v>
      </c>
      <c r="B831" s="391" t="s">
        <v>45</v>
      </c>
      <c r="C831" s="338" t="s">
        <v>1074</v>
      </c>
      <c r="D831" s="422"/>
    </row>
    <row r="832" spans="1:4" x14ac:dyDescent="0.25">
      <c r="A832" s="61">
        <v>11</v>
      </c>
      <c r="B832" s="288" t="s">
        <v>311</v>
      </c>
      <c r="C832" s="260"/>
      <c r="D832" s="421"/>
    </row>
    <row r="833" spans="1:4" x14ac:dyDescent="0.25">
      <c r="A833" s="61">
        <v>12</v>
      </c>
      <c r="B833" s="288" t="s">
        <v>312</v>
      </c>
      <c r="C833" s="260"/>
      <c r="D833" s="421"/>
    </row>
    <row r="834" spans="1:4" s="336" customFormat="1" x14ac:dyDescent="0.25">
      <c r="A834" s="340"/>
      <c r="B834" s="392" t="s">
        <v>615</v>
      </c>
      <c r="C834" s="453"/>
      <c r="D834" s="422"/>
    </row>
    <row r="835" spans="1:4" s="336" customFormat="1" x14ac:dyDescent="0.25">
      <c r="A835" s="340">
        <v>1</v>
      </c>
      <c r="B835" s="365" t="s">
        <v>313</v>
      </c>
      <c r="C835" s="338" t="s">
        <v>975</v>
      </c>
      <c r="D835" s="422"/>
    </row>
    <row r="836" spans="1:4" s="336" customFormat="1" x14ac:dyDescent="0.25">
      <c r="A836" s="340">
        <v>2</v>
      </c>
      <c r="B836" s="365" t="s">
        <v>81</v>
      </c>
      <c r="C836" s="338" t="s">
        <v>976</v>
      </c>
      <c r="D836" s="422"/>
    </row>
    <row r="837" spans="1:4" s="336" customFormat="1" x14ac:dyDescent="0.25">
      <c r="A837" s="340">
        <v>3</v>
      </c>
      <c r="B837" s="350" t="s">
        <v>92</v>
      </c>
      <c r="C837" s="338" t="s">
        <v>977</v>
      </c>
      <c r="D837" s="422"/>
    </row>
    <row r="838" spans="1:4" s="336" customFormat="1" x14ac:dyDescent="0.25">
      <c r="A838" s="340">
        <v>4</v>
      </c>
      <c r="B838" s="350" t="s">
        <v>314</v>
      </c>
      <c r="C838" s="338" t="s">
        <v>978</v>
      </c>
      <c r="D838" s="422"/>
    </row>
    <row r="839" spans="1:4" s="336" customFormat="1" x14ac:dyDescent="0.25">
      <c r="A839" s="340">
        <v>5</v>
      </c>
      <c r="B839" s="365" t="s">
        <v>53</v>
      </c>
      <c r="C839" s="338" t="s">
        <v>979</v>
      </c>
      <c r="D839" s="422"/>
    </row>
    <row r="840" spans="1:4" s="336" customFormat="1" x14ac:dyDescent="0.25">
      <c r="A840" s="340">
        <v>6</v>
      </c>
      <c r="B840" s="365" t="s">
        <v>210</v>
      </c>
      <c r="C840" s="338" t="s">
        <v>980</v>
      </c>
      <c r="D840" s="422"/>
    </row>
    <row r="841" spans="1:4" s="336" customFormat="1" x14ac:dyDescent="0.25">
      <c r="A841" s="340">
        <v>7</v>
      </c>
      <c r="B841" s="365" t="s">
        <v>94</v>
      </c>
      <c r="C841" s="338" t="s">
        <v>982</v>
      </c>
      <c r="D841" s="422"/>
    </row>
    <row r="842" spans="1:4" s="336" customFormat="1" x14ac:dyDescent="0.25">
      <c r="A842" s="340">
        <v>8</v>
      </c>
      <c r="B842" s="365" t="s">
        <v>213</v>
      </c>
      <c r="C842" s="338" t="s">
        <v>981</v>
      </c>
      <c r="D842" s="422"/>
    </row>
    <row r="843" spans="1:4" s="336" customFormat="1" x14ac:dyDescent="0.25">
      <c r="A843" s="340">
        <v>9</v>
      </c>
      <c r="B843" s="365" t="s">
        <v>44</v>
      </c>
      <c r="C843" s="338" t="s">
        <v>983</v>
      </c>
      <c r="D843" s="422"/>
    </row>
    <row r="844" spans="1:4" s="336" customFormat="1" x14ac:dyDescent="0.25">
      <c r="A844" s="340">
        <v>10</v>
      </c>
      <c r="B844" s="365" t="s">
        <v>45</v>
      </c>
      <c r="C844" s="338" t="s">
        <v>984</v>
      </c>
      <c r="D844" s="422"/>
    </row>
    <row r="845" spans="1:4" x14ac:dyDescent="0.25">
      <c r="A845" s="61"/>
      <c r="B845" s="322" t="s">
        <v>658</v>
      </c>
      <c r="C845" s="271"/>
      <c r="D845" s="421"/>
    </row>
    <row r="846" spans="1:4" x14ac:dyDescent="0.25">
      <c r="A846" s="36">
        <v>1</v>
      </c>
      <c r="B846" s="88" t="s">
        <v>659</v>
      </c>
      <c r="C846" s="223"/>
      <c r="D846" s="421"/>
    </row>
    <row r="847" spans="1:4" x14ac:dyDescent="0.25">
      <c r="A847" s="36">
        <v>2</v>
      </c>
      <c r="B847" s="88" t="s">
        <v>349</v>
      </c>
      <c r="C847" s="223"/>
      <c r="D847" s="421"/>
    </row>
    <row r="848" spans="1:4" x14ac:dyDescent="0.25">
      <c r="A848" s="61">
        <v>3</v>
      </c>
      <c r="B848" s="88" t="s">
        <v>240</v>
      </c>
      <c r="C848" s="223"/>
      <c r="D848" s="421"/>
    </row>
    <row r="849" spans="1:4" x14ac:dyDescent="0.25">
      <c r="A849" s="61">
        <v>4</v>
      </c>
      <c r="B849" s="88" t="s">
        <v>64</v>
      </c>
      <c r="C849" s="223"/>
      <c r="D849" s="421"/>
    </row>
    <row r="850" spans="1:4" x14ac:dyDescent="0.25">
      <c r="A850" s="61">
        <v>5</v>
      </c>
      <c r="B850" s="88" t="s">
        <v>595</v>
      </c>
      <c r="C850" s="223"/>
      <c r="D850" s="421"/>
    </row>
    <row r="851" spans="1:4" x14ac:dyDescent="0.25">
      <c r="A851" s="61">
        <v>6</v>
      </c>
      <c r="B851" s="86" t="s">
        <v>478</v>
      </c>
      <c r="C851" s="223"/>
      <c r="D851" s="421"/>
    </row>
    <row r="852" spans="1:4" x14ac:dyDescent="0.25">
      <c r="A852" s="61">
        <v>7</v>
      </c>
      <c r="B852" s="86" t="s">
        <v>253</v>
      </c>
      <c r="C852" s="223"/>
      <c r="D852" s="421"/>
    </row>
    <row r="853" spans="1:4" x14ac:dyDescent="0.25">
      <c r="A853" s="320">
        <v>8</v>
      </c>
      <c r="B853" s="86" t="s">
        <v>653</v>
      </c>
      <c r="C853" s="223"/>
      <c r="D853" s="421"/>
    </row>
    <row r="854" spans="1:4" x14ac:dyDescent="0.25">
      <c r="A854" s="61"/>
      <c r="B854" s="406" t="s">
        <v>239</v>
      </c>
      <c r="C854" s="271"/>
      <c r="D854" s="421"/>
    </row>
    <row r="855" spans="1:4" x14ac:dyDescent="0.25">
      <c r="A855" s="61">
        <v>1</v>
      </c>
      <c r="B855" s="86" t="s">
        <v>315</v>
      </c>
      <c r="C855" s="223"/>
      <c r="D855" s="421"/>
    </row>
    <row r="856" spans="1:4" x14ac:dyDescent="0.25">
      <c r="A856" s="61">
        <v>2</v>
      </c>
      <c r="B856" s="76" t="s">
        <v>240</v>
      </c>
      <c r="C856" s="223" t="s">
        <v>919</v>
      </c>
      <c r="D856" s="421"/>
    </row>
    <row r="857" spans="1:4" x14ac:dyDescent="0.25">
      <c r="A857" s="61">
        <v>3</v>
      </c>
      <c r="B857" s="76" t="s">
        <v>595</v>
      </c>
      <c r="C857" s="223" t="s">
        <v>920</v>
      </c>
      <c r="D857" s="421"/>
    </row>
    <row r="858" spans="1:4" x14ac:dyDescent="0.25">
      <c r="A858" s="61">
        <v>4</v>
      </c>
      <c r="B858" s="76" t="s">
        <v>44</v>
      </c>
      <c r="C858" s="223" t="s">
        <v>921</v>
      </c>
      <c r="D858" s="421"/>
    </row>
    <row r="859" spans="1:4" x14ac:dyDescent="0.25">
      <c r="A859" s="56">
        <v>5</v>
      </c>
      <c r="B859" s="76" t="s">
        <v>45</v>
      </c>
      <c r="C859" s="223" t="s">
        <v>922</v>
      </c>
      <c r="D859" s="421"/>
    </row>
    <row r="860" spans="1:4" s="336" customFormat="1" x14ac:dyDescent="0.25">
      <c r="A860" s="340"/>
      <c r="B860" s="351" t="s">
        <v>235</v>
      </c>
      <c r="C860" s="385"/>
      <c r="D860" s="422"/>
    </row>
    <row r="861" spans="1:4" s="336" customFormat="1" ht="26.25" x14ac:dyDescent="0.25">
      <c r="A861" s="340">
        <v>1</v>
      </c>
      <c r="B861" s="349" t="s">
        <v>236</v>
      </c>
      <c r="C861" s="457" t="s">
        <v>949</v>
      </c>
      <c r="D861" s="422"/>
    </row>
    <row r="862" spans="1:4" s="336" customFormat="1" x14ac:dyDescent="0.25">
      <c r="A862" s="340">
        <v>2</v>
      </c>
      <c r="B862" s="350" t="s">
        <v>237</v>
      </c>
      <c r="C862" s="338" t="s">
        <v>950</v>
      </c>
      <c r="D862" s="422"/>
    </row>
    <row r="863" spans="1:4" s="336" customFormat="1" x14ac:dyDescent="0.25">
      <c r="A863" s="340">
        <v>3</v>
      </c>
      <c r="B863" s="353" t="s">
        <v>53</v>
      </c>
      <c r="C863" s="338" t="s">
        <v>951</v>
      </c>
      <c r="D863" s="422"/>
    </row>
    <row r="864" spans="1:4" s="336" customFormat="1" x14ac:dyDescent="0.25">
      <c r="A864" s="340">
        <v>4</v>
      </c>
      <c r="B864" s="350" t="s">
        <v>238</v>
      </c>
      <c r="C864" s="338" t="s">
        <v>952</v>
      </c>
      <c r="D864" s="422"/>
    </row>
    <row r="865" spans="1:4" s="336" customFormat="1" x14ac:dyDescent="0.25">
      <c r="A865" s="340">
        <v>5</v>
      </c>
      <c r="B865" s="350" t="s">
        <v>297</v>
      </c>
      <c r="C865" s="469"/>
      <c r="D865" s="423" t="s">
        <v>953</v>
      </c>
    </row>
    <row r="866" spans="1:4" s="336" customFormat="1" x14ac:dyDescent="0.25">
      <c r="A866" s="340">
        <v>6</v>
      </c>
      <c r="B866" s="350" t="s">
        <v>44</v>
      </c>
      <c r="C866" s="338" t="s">
        <v>954</v>
      </c>
      <c r="D866" s="422"/>
    </row>
    <row r="867" spans="1:4" s="336" customFormat="1" x14ac:dyDescent="0.25">
      <c r="A867" s="340">
        <v>7</v>
      </c>
      <c r="B867" s="350" t="s">
        <v>45</v>
      </c>
      <c r="C867" s="338" t="s">
        <v>955</v>
      </c>
      <c r="D867" s="422"/>
    </row>
    <row r="868" spans="1:4" x14ac:dyDescent="0.25">
      <c r="A868" s="61">
        <v>8</v>
      </c>
      <c r="B868" s="76" t="s">
        <v>478</v>
      </c>
      <c r="C868" s="260"/>
      <c r="D868" s="421"/>
    </row>
    <row r="869" spans="1:4" x14ac:dyDescent="0.25">
      <c r="A869" s="56"/>
      <c r="B869" s="406" t="s">
        <v>245</v>
      </c>
      <c r="C869" s="271"/>
      <c r="D869" s="421"/>
    </row>
    <row r="870" spans="1:4" x14ac:dyDescent="0.25">
      <c r="A870" s="56">
        <v>1</v>
      </c>
      <c r="B870" s="86" t="s">
        <v>53</v>
      </c>
      <c r="C870" s="223" t="s">
        <v>993</v>
      </c>
      <c r="D870" s="421"/>
    </row>
    <row r="871" spans="1:4" x14ac:dyDescent="0.25">
      <c r="A871" s="56">
        <v>2</v>
      </c>
      <c r="B871" s="65" t="s">
        <v>246</v>
      </c>
      <c r="C871" s="223"/>
      <c r="D871" s="421"/>
    </row>
    <row r="872" spans="1:4" x14ac:dyDescent="0.25">
      <c r="A872" s="56">
        <v>3</v>
      </c>
      <c r="B872" s="65" t="s">
        <v>45</v>
      </c>
      <c r="C872" s="223" t="s">
        <v>994</v>
      </c>
      <c r="D872" s="421"/>
    </row>
    <row r="873" spans="1:4" s="336" customFormat="1" x14ac:dyDescent="0.25">
      <c r="A873" s="334"/>
      <c r="B873" s="354" t="s">
        <v>247</v>
      </c>
      <c r="C873" s="453"/>
      <c r="D873" s="422"/>
    </row>
    <row r="874" spans="1:4" s="336" customFormat="1" x14ac:dyDescent="0.25">
      <c r="A874" s="340">
        <v>1</v>
      </c>
      <c r="B874" s="349" t="s">
        <v>248</v>
      </c>
      <c r="C874" s="338" t="s">
        <v>894</v>
      </c>
      <c r="D874" s="422"/>
    </row>
    <row r="875" spans="1:4" s="336" customFormat="1" x14ac:dyDescent="0.25">
      <c r="A875" s="340">
        <v>2</v>
      </c>
      <c r="B875" s="349" t="s">
        <v>249</v>
      </c>
      <c r="C875" s="338" t="s">
        <v>895</v>
      </c>
      <c r="D875" s="422"/>
    </row>
    <row r="876" spans="1:4" s="336" customFormat="1" x14ac:dyDescent="0.25">
      <c r="A876" s="340"/>
      <c r="B876" s="354" t="s">
        <v>98</v>
      </c>
      <c r="C876" s="338"/>
      <c r="D876" s="422"/>
    </row>
    <row r="877" spans="1:4" s="336" customFormat="1" x14ac:dyDescent="0.25">
      <c r="A877" s="340">
        <v>1</v>
      </c>
      <c r="B877" s="355" t="s">
        <v>100</v>
      </c>
      <c r="C877" s="338" t="s">
        <v>896</v>
      </c>
      <c r="D877" s="422"/>
    </row>
    <row r="878" spans="1:4" s="336" customFormat="1" x14ac:dyDescent="0.25">
      <c r="A878" s="340">
        <v>2</v>
      </c>
      <c r="B878" s="350" t="s">
        <v>439</v>
      </c>
      <c r="C878" s="338" t="s">
        <v>897</v>
      </c>
      <c r="D878" s="422"/>
    </row>
    <row r="879" spans="1:4" s="336" customFormat="1" x14ac:dyDescent="0.25">
      <c r="A879" s="340">
        <v>3</v>
      </c>
      <c r="B879" s="335" t="s">
        <v>299</v>
      </c>
      <c r="C879" s="338" t="s">
        <v>898</v>
      </c>
      <c r="D879" s="422"/>
    </row>
    <row r="880" spans="1:4" s="336" customFormat="1" x14ac:dyDescent="0.25">
      <c r="A880" s="340">
        <v>4</v>
      </c>
      <c r="B880" s="349" t="s">
        <v>101</v>
      </c>
      <c r="C880" s="338" t="s">
        <v>899</v>
      </c>
      <c r="D880" s="422"/>
    </row>
    <row r="881" spans="1:4" s="336" customFormat="1" x14ac:dyDescent="0.25">
      <c r="A881" s="340">
        <v>5</v>
      </c>
      <c r="B881" s="335" t="s">
        <v>102</v>
      </c>
      <c r="C881" s="338" t="s">
        <v>900</v>
      </c>
      <c r="D881" s="422"/>
    </row>
    <row r="882" spans="1:4" s="336" customFormat="1" ht="26.25" x14ac:dyDescent="0.25">
      <c r="A882" s="340">
        <v>6</v>
      </c>
      <c r="B882" s="339" t="s">
        <v>255</v>
      </c>
      <c r="C882" s="338" t="s">
        <v>901</v>
      </c>
      <c r="D882" s="422"/>
    </row>
    <row r="883" spans="1:4" x14ac:dyDescent="0.25">
      <c r="A883" s="61">
        <v>7</v>
      </c>
      <c r="B883" s="65" t="s">
        <v>256</v>
      </c>
      <c r="C883" s="260"/>
      <c r="D883" s="421"/>
    </row>
    <row r="884" spans="1:4" s="336" customFormat="1" x14ac:dyDescent="0.25">
      <c r="A884" s="340">
        <v>8</v>
      </c>
      <c r="B884" s="335" t="s">
        <v>597</v>
      </c>
      <c r="C884" s="338" t="s">
        <v>902</v>
      </c>
      <c r="D884" s="422"/>
    </row>
    <row r="885" spans="1:4" s="336" customFormat="1" x14ac:dyDescent="0.25">
      <c r="A885" s="340">
        <v>9</v>
      </c>
      <c r="B885" s="335" t="s">
        <v>103</v>
      </c>
      <c r="C885" s="338" t="s">
        <v>903</v>
      </c>
      <c r="D885" s="422"/>
    </row>
    <row r="886" spans="1:4" x14ac:dyDescent="0.25">
      <c r="A886" s="61">
        <v>10</v>
      </c>
      <c r="B886" s="65" t="s">
        <v>252</v>
      </c>
      <c r="C886" s="260"/>
      <c r="D886" s="421"/>
    </row>
    <row r="887" spans="1:4" s="336" customFormat="1" x14ac:dyDescent="0.25">
      <c r="A887" s="340">
        <v>11</v>
      </c>
      <c r="B887" s="335" t="s">
        <v>253</v>
      </c>
      <c r="C887" s="338" t="s">
        <v>904</v>
      </c>
      <c r="D887" s="422"/>
    </row>
    <row r="888" spans="1:4" s="336" customFormat="1" x14ac:dyDescent="0.25">
      <c r="A888" s="340">
        <v>12</v>
      </c>
      <c r="B888" s="335" t="s">
        <v>106</v>
      </c>
      <c r="C888" s="338" t="s">
        <v>905</v>
      </c>
      <c r="D888" s="422"/>
    </row>
    <row r="889" spans="1:4" s="336" customFormat="1" x14ac:dyDescent="0.25">
      <c r="A889" s="340">
        <v>13</v>
      </c>
      <c r="B889" s="335" t="s">
        <v>108</v>
      </c>
      <c r="C889" s="338" t="s">
        <v>906</v>
      </c>
      <c r="D889" s="422"/>
    </row>
    <row r="890" spans="1:4" s="336" customFormat="1" x14ac:dyDescent="0.25">
      <c r="A890" s="340">
        <v>14</v>
      </c>
      <c r="B890" s="335" t="s">
        <v>105</v>
      </c>
      <c r="C890" s="338" t="s">
        <v>907</v>
      </c>
      <c r="D890" s="422"/>
    </row>
    <row r="891" spans="1:4" s="336" customFormat="1" x14ac:dyDescent="0.25">
      <c r="A891" s="340">
        <v>15</v>
      </c>
      <c r="B891" s="335" t="s">
        <v>316</v>
      </c>
      <c r="C891" s="338" t="s">
        <v>908</v>
      </c>
      <c r="D891" s="422"/>
    </row>
    <row r="892" spans="1:4" s="336" customFormat="1" ht="26.25" x14ac:dyDescent="0.25">
      <c r="A892" s="340">
        <v>16</v>
      </c>
      <c r="B892" s="339" t="s">
        <v>664</v>
      </c>
      <c r="C892" s="385" t="s">
        <v>1193</v>
      </c>
      <c r="D892" s="422"/>
    </row>
    <row r="893" spans="1:4" s="336" customFormat="1" x14ac:dyDescent="0.25">
      <c r="A893" s="341">
        <v>17</v>
      </c>
      <c r="B893" s="350" t="s">
        <v>104</v>
      </c>
      <c r="C893" s="338" t="s">
        <v>909</v>
      </c>
      <c r="D893" s="422"/>
    </row>
    <row r="894" spans="1:4" s="336" customFormat="1" x14ac:dyDescent="0.25">
      <c r="A894" s="340"/>
      <c r="B894" s="390" t="s">
        <v>300</v>
      </c>
      <c r="C894" s="453"/>
      <c r="D894" s="422"/>
    </row>
    <row r="895" spans="1:4" s="336" customFormat="1" x14ac:dyDescent="0.25">
      <c r="A895" s="340">
        <v>1</v>
      </c>
      <c r="B895" s="353" t="s">
        <v>208</v>
      </c>
      <c r="C895" s="338" t="s">
        <v>910</v>
      </c>
      <c r="D895" s="422"/>
    </row>
    <row r="896" spans="1:4" s="336" customFormat="1" x14ac:dyDescent="0.25">
      <c r="A896" s="340">
        <v>2</v>
      </c>
      <c r="B896" s="353" t="s">
        <v>317</v>
      </c>
      <c r="C896" s="338" t="s">
        <v>911</v>
      </c>
      <c r="D896" s="422"/>
    </row>
    <row r="897" spans="1:4" s="336" customFormat="1" x14ac:dyDescent="0.25">
      <c r="A897" s="340">
        <v>3</v>
      </c>
      <c r="B897" s="353" t="s">
        <v>257</v>
      </c>
      <c r="C897" s="338" t="s">
        <v>912</v>
      </c>
      <c r="D897" s="422"/>
    </row>
    <row r="898" spans="1:4" x14ac:dyDescent="0.25">
      <c r="A898" s="61">
        <v>4</v>
      </c>
      <c r="B898" s="86" t="s">
        <v>439</v>
      </c>
      <c r="C898" s="223"/>
      <c r="D898" s="421"/>
    </row>
    <row r="899" spans="1:4" s="336" customFormat="1" x14ac:dyDescent="0.25">
      <c r="A899" s="340">
        <v>5</v>
      </c>
      <c r="B899" s="350" t="s">
        <v>258</v>
      </c>
      <c r="C899" s="338" t="s">
        <v>913</v>
      </c>
      <c r="D899" s="422"/>
    </row>
    <row r="900" spans="1:4" s="336" customFormat="1" x14ac:dyDescent="0.25">
      <c r="A900" s="340">
        <v>6</v>
      </c>
      <c r="B900" s="355" t="s">
        <v>259</v>
      </c>
      <c r="C900" s="338" t="s">
        <v>914</v>
      </c>
      <c r="D900" s="422"/>
    </row>
    <row r="901" spans="1:4" s="336" customFormat="1" x14ac:dyDescent="0.25">
      <c r="A901" s="340">
        <v>7</v>
      </c>
      <c r="B901" s="355" t="s">
        <v>260</v>
      </c>
      <c r="C901" s="338" t="s">
        <v>915</v>
      </c>
      <c r="D901" s="422"/>
    </row>
    <row r="902" spans="1:4" s="336" customFormat="1" x14ac:dyDescent="0.25">
      <c r="A902" s="340">
        <v>8</v>
      </c>
      <c r="B902" s="355" t="s">
        <v>318</v>
      </c>
      <c r="C902" s="338" t="s">
        <v>916</v>
      </c>
      <c r="D902" s="422"/>
    </row>
    <row r="903" spans="1:4" s="336" customFormat="1" x14ac:dyDescent="0.25">
      <c r="A903" s="340">
        <v>9</v>
      </c>
      <c r="B903" s="335" t="s">
        <v>299</v>
      </c>
      <c r="C903" s="338" t="s">
        <v>917</v>
      </c>
      <c r="D903" s="422"/>
    </row>
    <row r="904" spans="1:4" s="336" customFormat="1" x14ac:dyDescent="0.25">
      <c r="A904" s="340">
        <v>10</v>
      </c>
      <c r="B904" s="355" t="s">
        <v>106</v>
      </c>
      <c r="C904" s="338" t="s">
        <v>918</v>
      </c>
      <c r="D904" s="422"/>
    </row>
    <row r="905" spans="1:4" s="336" customFormat="1" ht="18.75" x14ac:dyDescent="0.3">
      <c r="A905" s="340"/>
      <c r="B905" s="389" t="s">
        <v>517</v>
      </c>
      <c r="C905" s="449"/>
      <c r="D905" s="422"/>
    </row>
    <row r="906" spans="1:4" s="336" customFormat="1" x14ac:dyDescent="0.25">
      <c r="A906" s="340"/>
      <c r="B906" s="363" t="s">
        <v>15</v>
      </c>
      <c r="C906" s="449"/>
      <c r="D906" s="422"/>
    </row>
    <row r="907" spans="1:4" s="336" customFormat="1" x14ac:dyDescent="0.25">
      <c r="A907" s="340">
        <v>1</v>
      </c>
      <c r="B907" s="350" t="s">
        <v>263</v>
      </c>
      <c r="C907" s="338" t="s">
        <v>950</v>
      </c>
      <c r="D907" s="422"/>
    </row>
    <row r="908" spans="1:4" s="336" customFormat="1" x14ac:dyDescent="0.25">
      <c r="A908" s="340">
        <v>2</v>
      </c>
      <c r="B908" s="349" t="s">
        <v>207</v>
      </c>
      <c r="C908" s="338" t="s">
        <v>951</v>
      </c>
      <c r="D908" s="422"/>
    </row>
    <row r="909" spans="1:4" s="336" customFormat="1" ht="26.25" x14ac:dyDescent="0.25">
      <c r="A909" s="340">
        <v>3</v>
      </c>
      <c r="B909" s="349" t="s">
        <v>206</v>
      </c>
      <c r="C909" s="338" t="s">
        <v>952</v>
      </c>
      <c r="D909" s="422"/>
    </row>
    <row r="910" spans="1:4" s="336" customFormat="1" x14ac:dyDescent="0.25">
      <c r="A910" s="340">
        <v>4</v>
      </c>
      <c r="B910" s="349" t="s">
        <v>81</v>
      </c>
      <c r="C910" s="338" t="s">
        <v>1047</v>
      </c>
      <c r="D910" s="422"/>
    </row>
    <row r="911" spans="1:4" s="336" customFormat="1" x14ac:dyDescent="0.25">
      <c r="A911" s="340">
        <v>5</v>
      </c>
      <c r="B911" s="353" t="s">
        <v>43</v>
      </c>
      <c r="C911" s="338" t="s">
        <v>1093</v>
      </c>
      <c r="D911" s="422"/>
    </row>
    <row r="912" spans="1:4" s="336" customFormat="1" x14ac:dyDescent="0.25">
      <c r="A912" s="340">
        <v>7</v>
      </c>
      <c r="B912" s="353" t="s">
        <v>208</v>
      </c>
      <c r="C912" s="338" t="s">
        <v>954</v>
      </c>
      <c r="D912" s="422"/>
    </row>
    <row r="913" spans="1:4" s="336" customFormat="1" x14ac:dyDescent="0.25">
      <c r="A913" s="334"/>
      <c r="B913" s="351" t="s">
        <v>46</v>
      </c>
      <c r="C913" s="453"/>
      <c r="D913" s="422"/>
    </row>
    <row r="914" spans="1:4" s="336" customFormat="1" x14ac:dyDescent="0.25">
      <c r="A914" s="334">
        <v>1</v>
      </c>
      <c r="B914" s="339" t="s">
        <v>24</v>
      </c>
      <c r="C914" s="338" t="s">
        <v>955</v>
      </c>
      <c r="D914" s="422"/>
    </row>
    <row r="915" spans="1:4" s="336" customFormat="1" x14ac:dyDescent="0.25">
      <c r="A915" s="340"/>
      <c r="B915" s="374" t="s">
        <v>136</v>
      </c>
      <c r="C915" s="449"/>
      <c r="D915" s="422"/>
    </row>
    <row r="916" spans="1:4" s="336" customFormat="1" x14ac:dyDescent="0.25">
      <c r="A916" s="340">
        <v>1</v>
      </c>
      <c r="B916" s="365" t="s">
        <v>320</v>
      </c>
      <c r="C916" s="338" t="s">
        <v>957</v>
      </c>
      <c r="D916" s="422"/>
    </row>
    <row r="917" spans="1:4" s="336" customFormat="1" x14ac:dyDescent="0.25">
      <c r="A917" s="340">
        <v>2</v>
      </c>
      <c r="B917" s="365" t="s">
        <v>32</v>
      </c>
      <c r="C917" s="338" t="s">
        <v>1048</v>
      </c>
      <c r="D917" s="422"/>
    </row>
    <row r="918" spans="1:4" s="336" customFormat="1" x14ac:dyDescent="0.25">
      <c r="A918" s="340">
        <v>3</v>
      </c>
      <c r="B918" s="365" t="s">
        <v>53</v>
      </c>
      <c r="C918" s="338" t="s">
        <v>1049</v>
      </c>
      <c r="D918" s="422"/>
    </row>
    <row r="919" spans="1:4" s="336" customFormat="1" x14ac:dyDescent="0.25">
      <c r="A919" s="340">
        <v>4</v>
      </c>
      <c r="B919" s="365" t="s">
        <v>210</v>
      </c>
      <c r="C919" s="338" t="s">
        <v>959</v>
      </c>
      <c r="D919" s="422"/>
    </row>
    <row r="920" spans="1:4" s="336" customFormat="1" x14ac:dyDescent="0.25">
      <c r="A920" s="340">
        <v>5</v>
      </c>
      <c r="B920" s="365" t="s">
        <v>94</v>
      </c>
      <c r="C920" s="338" t="s">
        <v>960</v>
      </c>
      <c r="D920" s="422"/>
    </row>
    <row r="921" spans="1:4" s="336" customFormat="1" x14ac:dyDescent="0.25">
      <c r="A921" s="340">
        <v>6</v>
      </c>
      <c r="B921" s="365" t="s">
        <v>44</v>
      </c>
      <c r="C921" s="338" t="s">
        <v>961</v>
      </c>
      <c r="D921" s="422"/>
    </row>
    <row r="922" spans="1:4" s="336" customFormat="1" x14ac:dyDescent="0.25">
      <c r="A922" s="340">
        <v>7</v>
      </c>
      <c r="B922" s="365" t="s">
        <v>45</v>
      </c>
      <c r="C922" s="338" t="s">
        <v>962</v>
      </c>
      <c r="D922" s="422"/>
    </row>
    <row r="923" spans="1:4" s="336" customFormat="1" x14ac:dyDescent="0.25">
      <c r="A923" s="340"/>
      <c r="B923" s="351" t="s">
        <v>617</v>
      </c>
      <c r="C923" s="387"/>
      <c r="D923" s="422"/>
    </row>
    <row r="924" spans="1:4" s="336" customFormat="1" x14ac:dyDescent="0.25">
      <c r="A924" s="340">
        <v>1</v>
      </c>
      <c r="B924" s="365" t="s">
        <v>321</v>
      </c>
      <c r="C924" s="338" t="s">
        <v>963</v>
      </c>
      <c r="D924" s="422"/>
    </row>
    <row r="925" spans="1:4" s="336" customFormat="1" x14ac:dyDescent="0.25">
      <c r="A925" s="340">
        <v>2</v>
      </c>
      <c r="B925" s="365" t="s">
        <v>59</v>
      </c>
      <c r="C925" s="338" t="s">
        <v>964</v>
      </c>
      <c r="D925" s="422"/>
    </row>
    <row r="926" spans="1:4" s="336" customFormat="1" x14ac:dyDescent="0.25">
      <c r="A926" s="340">
        <v>3</v>
      </c>
      <c r="B926" s="365" t="s">
        <v>32</v>
      </c>
      <c r="C926" s="338" t="s">
        <v>1050</v>
      </c>
      <c r="D926" s="422"/>
    </row>
    <row r="927" spans="1:4" s="336" customFormat="1" x14ac:dyDescent="0.25">
      <c r="A927" s="340">
        <v>4</v>
      </c>
      <c r="B927" s="365" t="s">
        <v>53</v>
      </c>
      <c r="C927" s="338" t="s">
        <v>967</v>
      </c>
      <c r="D927" s="422"/>
    </row>
    <row r="928" spans="1:4" s="336" customFormat="1" x14ac:dyDescent="0.25">
      <c r="A928" s="340">
        <v>5</v>
      </c>
      <c r="B928" s="365" t="s">
        <v>210</v>
      </c>
      <c r="C928" s="338" t="s">
        <v>1052</v>
      </c>
      <c r="D928" s="422"/>
    </row>
    <row r="929" spans="1:4" s="336" customFormat="1" x14ac:dyDescent="0.25">
      <c r="A929" s="340">
        <v>6</v>
      </c>
      <c r="B929" s="365" t="s">
        <v>94</v>
      </c>
      <c r="C929" s="338" t="s">
        <v>1051</v>
      </c>
      <c r="D929" s="422"/>
    </row>
    <row r="930" spans="1:4" s="336" customFormat="1" x14ac:dyDescent="0.25">
      <c r="A930" s="340">
        <v>7</v>
      </c>
      <c r="B930" s="365" t="s">
        <v>44</v>
      </c>
      <c r="C930" s="338" t="s">
        <v>969</v>
      </c>
      <c r="D930" s="422"/>
    </row>
    <row r="931" spans="1:4" s="336" customFormat="1" x14ac:dyDescent="0.25">
      <c r="A931" s="340">
        <v>8</v>
      </c>
      <c r="B931" s="365" t="s">
        <v>45</v>
      </c>
      <c r="C931" s="338" t="s">
        <v>970</v>
      </c>
      <c r="D931" s="422"/>
    </row>
    <row r="932" spans="1:4" s="336" customFormat="1" x14ac:dyDescent="0.25">
      <c r="A932" s="354" t="s">
        <v>322</v>
      </c>
      <c r="B932" s="355"/>
      <c r="C932" s="387"/>
      <c r="D932" s="422"/>
    </row>
    <row r="933" spans="1:4" s="336" customFormat="1" x14ac:dyDescent="0.25">
      <c r="A933" s="340">
        <v>1</v>
      </c>
      <c r="B933" s="365" t="s">
        <v>323</v>
      </c>
      <c r="C933" s="338" t="s">
        <v>834</v>
      </c>
      <c r="D933" s="422"/>
    </row>
    <row r="934" spans="1:4" s="336" customFormat="1" x14ac:dyDescent="0.25">
      <c r="A934" s="340">
        <v>2</v>
      </c>
      <c r="B934" s="365" t="s">
        <v>66</v>
      </c>
      <c r="C934" s="338" t="s">
        <v>833</v>
      </c>
      <c r="D934" s="422"/>
    </row>
    <row r="935" spans="1:4" s="336" customFormat="1" x14ac:dyDescent="0.25">
      <c r="A935" s="340">
        <v>4</v>
      </c>
      <c r="B935" s="365" t="s">
        <v>53</v>
      </c>
      <c r="C935" s="338" t="s">
        <v>832</v>
      </c>
      <c r="D935" s="422"/>
    </row>
    <row r="936" spans="1:4" s="336" customFormat="1" x14ac:dyDescent="0.25">
      <c r="A936" s="340">
        <v>5</v>
      </c>
      <c r="B936" s="365" t="s">
        <v>210</v>
      </c>
      <c r="C936" s="338" t="s">
        <v>831</v>
      </c>
      <c r="D936" s="422"/>
    </row>
    <row r="937" spans="1:4" s="336" customFormat="1" x14ac:dyDescent="0.25">
      <c r="A937" s="340">
        <v>6</v>
      </c>
      <c r="B937" s="365" t="s">
        <v>94</v>
      </c>
      <c r="C937" s="338" t="s">
        <v>830</v>
      </c>
      <c r="D937" s="422"/>
    </row>
    <row r="938" spans="1:4" s="336" customFormat="1" x14ac:dyDescent="0.25">
      <c r="A938" s="340">
        <v>7</v>
      </c>
      <c r="B938" s="365" t="s">
        <v>44</v>
      </c>
      <c r="C938" s="338" t="s">
        <v>829</v>
      </c>
      <c r="D938" s="422"/>
    </row>
    <row r="939" spans="1:4" s="336" customFormat="1" x14ac:dyDescent="0.25">
      <c r="A939" s="340">
        <v>8</v>
      </c>
      <c r="B939" s="365" t="s">
        <v>45</v>
      </c>
      <c r="C939" s="338" t="s">
        <v>828</v>
      </c>
      <c r="D939" s="422"/>
    </row>
    <row r="940" spans="1:4" s="336" customFormat="1" x14ac:dyDescent="0.25">
      <c r="A940" s="340"/>
      <c r="B940" s="374" t="s">
        <v>519</v>
      </c>
      <c r="C940" s="387"/>
      <c r="D940" s="422"/>
    </row>
    <row r="941" spans="1:4" s="336" customFormat="1" x14ac:dyDescent="0.25">
      <c r="A941" s="334">
        <v>1</v>
      </c>
      <c r="B941" s="365" t="s">
        <v>324</v>
      </c>
      <c r="C941" s="338" t="s">
        <v>1095</v>
      </c>
      <c r="D941" s="422"/>
    </row>
    <row r="942" spans="1:4" s="336" customFormat="1" x14ac:dyDescent="0.25">
      <c r="A942" s="334">
        <v>2</v>
      </c>
      <c r="B942" s="365" t="s">
        <v>325</v>
      </c>
      <c r="C942" s="338" t="s">
        <v>1097</v>
      </c>
      <c r="D942" s="422"/>
    </row>
    <row r="943" spans="1:4" s="336" customFormat="1" x14ac:dyDescent="0.25">
      <c r="A943" s="334">
        <v>3</v>
      </c>
      <c r="B943" s="365" t="s">
        <v>53</v>
      </c>
      <c r="C943" s="338" t="s">
        <v>1096</v>
      </c>
      <c r="D943" s="422"/>
    </row>
    <row r="944" spans="1:4" s="336" customFormat="1" x14ac:dyDescent="0.25">
      <c r="A944" s="334">
        <v>4</v>
      </c>
      <c r="B944" s="365" t="s">
        <v>210</v>
      </c>
      <c r="C944" s="338" t="s">
        <v>1098</v>
      </c>
      <c r="D944" s="422"/>
    </row>
    <row r="945" spans="1:4" s="336" customFormat="1" x14ac:dyDescent="0.25">
      <c r="A945" s="334">
        <v>5</v>
      </c>
      <c r="B945" s="365" t="s">
        <v>94</v>
      </c>
      <c r="C945" s="338" t="s">
        <v>1099</v>
      </c>
      <c r="D945" s="422"/>
    </row>
    <row r="946" spans="1:4" s="336" customFormat="1" x14ac:dyDescent="0.25">
      <c r="A946" s="334">
        <v>6</v>
      </c>
      <c r="B946" s="365" t="s">
        <v>213</v>
      </c>
      <c r="C946" s="338" t="s">
        <v>1100</v>
      </c>
      <c r="D946" s="422"/>
    </row>
    <row r="947" spans="1:4" s="336" customFormat="1" x14ac:dyDescent="0.25">
      <c r="A947" s="334">
        <v>7</v>
      </c>
      <c r="B947" s="365" t="s">
        <v>44</v>
      </c>
      <c r="C947" s="338" t="s">
        <v>1101</v>
      </c>
      <c r="D947" s="422"/>
    </row>
    <row r="948" spans="1:4" s="336" customFormat="1" x14ac:dyDescent="0.25">
      <c r="A948" s="334">
        <v>8</v>
      </c>
      <c r="B948" s="365" t="s">
        <v>45</v>
      </c>
      <c r="C948" s="338" t="s">
        <v>1102</v>
      </c>
      <c r="D948" s="422"/>
    </row>
    <row r="949" spans="1:4" x14ac:dyDescent="0.25">
      <c r="A949" s="668" t="s">
        <v>552</v>
      </c>
      <c r="B949" s="668"/>
      <c r="C949" s="668"/>
      <c r="D949" s="421"/>
    </row>
    <row r="950" spans="1:4" x14ac:dyDescent="0.25">
      <c r="A950" s="90" t="s">
        <v>546</v>
      </c>
      <c r="B950" s="61"/>
      <c r="C950" s="311"/>
      <c r="D950" s="421"/>
    </row>
    <row r="951" spans="1:4" ht="26.25" x14ac:dyDescent="0.25">
      <c r="A951" s="134">
        <v>1</v>
      </c>
      <c r="B951" s="103" t="s">
        <v>556</v>
      </c>
      <c r="C951" s="331"/>
      <c r="D951" s="421"/>
    </row>
    <row r="952" spans="1:4" x14ac:dyDescent="0.25">
      <c r="A952" s="56">
        <v>2</v>
      </c>
      <c r="B952" s="103" t="s">
        <v>553</v>
      </c>
      <c r="C952" s="223" t="s">
        <v>1103</v>
      </c>
      <c r="D952" s="421"/>
    </row>
    <row r="953" spans="1:4" x14ac:dyDescent="0.25">
      <c r="A953" s="56">
        <v>3</v>
      </c>
      <c r="B953" s="88" t="s">
        <v>94</v>
      </c>
      <c r="C953" s="223" t="s">
        <v>1105</v>
      </c>
      <c r="D953" s="421"/>
    </row>
    <row r="954" spans="1:4" x14ac:dyDescent="0.25">
      <c r="A954" s="56">
        <v>4</v>
      </c>
      <c r="B954" s="88" t="s">
        <v>210</v>
      </c>
      <c r="C954" s="223" t="s">
        <v>1104</v>
      </c>
      <c r="D954" s="421"/>
    </row>
    <row r="955" spans="1:4" x14ac:dyDescent="0.25">
      <c r="A955" s="26">
        <v>5</v>
      </c>
      <c r="B955" s="88" t="s">
        <v>282</v>
      </c>
      <c r="C955" s="223"/>
      <c r="D955" s="421"/>
    </row>
    <row r="956" spans="1:4" x14ac:dyDescent="0.25">
      <c r="A956" s="26">
        <v>6</v>
      </c>
      <c r="B956" s="88" t="s">
        <v>44</v>
      </c>
      <c r="C956" s="223"/>
      <c r="D956" s="421"/>
    </row>
    <row r="957" spans="1:4" x14ac:dyDescent="0.25">
      <c r="A957" s="26">
        <v>7</v>
      </c>
      <c r="B957" s="88" t="s">
        <v>45</v>
      </c>
      <c r="C957" s="223" t="s">
        <v>1106</v>
      </c>
      <c r="D957" s="421"/>
    </row>
    <row r="958" spans="1:4" s="336" customFormat="1" x14ac:dyDescent="0.25">
      <c r="A958" s="340"/>
      <c r="B958" s="351" t="s">
        <v>239</v>
      </c>
      <c r="C958" s="453"/>
      <c r="D958" s="422"/>
    </row>
    <row r="959" spans="1:4" s="336" customFormat="1" ht="26.25" x14ac:dyDescent="0.25">
      <c r="A959" s="352">
        <v>1</v>
      </c>
      <c r="B959" s="359" t="s">
        <v>488</v>
      </c>
      <c r="C959" s="338" t="s">
        <v>971</v>
      </c>
      <c r="D959" s="422"/>
    </row>
    <row r="960" spans="1:4" s="336" customFormat="1" x14ac:dyDescent="0.25">
      <c r="A960" s="352">
        <v>2</v>
      </c>
      <c r="B960" s="350" t="s">
        <v>240</v>
      </c>
      <c r="C960" s="338" t="s">
        <v>972</v>
      </c>
      <c r="D960" s="422"/>
    </row>
    <row r="961" spans="1:4" s="336" customFormat="1" x14ac:dyDescent="0.25">
      <c r="A961" s="352">
        <v>3</v>
      </c>
      <c r="B961" s="350" t="s">
        <v>595</v>
      </c>
      <c r="C961" s="338" t="s">
        <v>973</v>
      </c>
      <c r="D961" s="422"/>
    </row>
    <row r="962" spans="1:4" s="336" customFormat="1" x14ac:dyDescent="0.25">
      <c r="A962" s="334">
        <v>4</v>
      </c>
      <c r="B962" s="350" t="s">
        <v>44</v>
      </c>
      <c r="C962" s="338" t="s">
        <v>1020</v>
      </c>
      <c r="D962" s="422"/>
    </row>
    <row r="963" spans="1:4" s="336" customFormat="1" x14ac:dyDescent="0.25">
      <c r="A963" s="340">
        <v>5</v>
      </c>
      <c r="B963" s="350" t="s">
        <v>45</v>
      </c>
      <c r="C963" s="338" t="s">
        <v>1021</v>
      </c>
      <c r="D963" s="422"/>
    </row>
    <row r="964" spans="1:4" s="336" customFormat="1" x14ac:dyDescent="0.25">
      <c r="A964" s="340"/>
      <c r="B964" s="351" t="s">
        <v>235</v>
      </c>
      <c r="C964" s="385"/>
      <c r="D964" s="422"/>
    </row>
    <row r="965" spans="1:4" s="336" customFormat="1" ht="26.25" x14ac:dyDescent="0.25">
      <c r="A965" s="352">
        <v>1</v>
      </c>
      <c r="B965" s="349" t="s">
        <v>236</v>
      </c>
      <c r="C965" s="338" t="s">
        <v>975</v>
      </c>
      <c r="D965" s="422"/>
    </row>
    <row r="966" spans="1:4" s="336" customFormat="1" x14ac:dyDescent="0.25">
      <c r="A966" s="352">
        <v>2</v>
      </c>
      <c r="B966" s="350" t="s">
        <v>237</v>
      </c>
      <c r="C966" s="338" t="s">
        <v>1023</v>
      </c>
      <c r="D966" s="422"/>
    </row>
    <row r="967" spans="1:4" s="336" customFormat="1" x14ac:dyDescent="0.25">
      <c r="A967" s="352">
        <v>3</v>
      </c>
      <c r="B967" s="353" t="s">
        <v>53</v>
      </c>
      <c r="C967" s="338" t="s">
        <v>1024</v>
      </c>
      <c r="D967" s="422"/>
    </row>
    <row r="968" spans="1:4" s="336" customFormat="1" x14ac:dyDescent="0.25">
      <c r="A968" s="352">
        <v>4</v>
      </c>
      <c r="B968" s="350" t="s">
        <v>238</v>
      </c>
      <c r="C968" s="338" t="s">
        <v>976</v>
      </c>
      <c r="D968" s="422"/>
    </row>
    <row r="969" spans="1:4" s="336" customFormat="1" x14ac:dyDescent="0.25">
      <c r="A969" s="352">
        <v>5</v>
      </c>
      <c r="B969" s="350" t="s">
        <v>297</v>
      </c>
      <c r="C969" s="338" t="s">
        <v>978</v>
      </c>
      <c r="D969" s="422"/>
    </row>
    <row r="970" spans="1:4" s="336" customFormat="1" x14ac:dyDescent="0.25">
      <c r="A970" s="352">
        <v>6</v>
      </c>
      <c r="B970" s="350" t="s">
        <v>44</v>
      </c>
      <c r="C970" s="338" t="s">
        <v>979</v>
      </c>
      <c r="D970" s="422"/>
    </row>
    <row r="971" spans="1:4" x14ac:dyDescent="0.25">
      <c r="A971" s="134">
        <v>7</v>
      </c>
      <c r="B971" s="76" t="s">
        <v>45</v>
      </c>
      <c r="C971" s="260"/>
      <c r="D971" s="421"/>
    </row>
    <row r="972" spans="1:4" s="336" customFormat="1" x14ac:dyDescent="0.25">
      <c r="A972" s="334"/>
      <c r="B972" s="351" t="s">
        <v>245</v>
      </c>
      <c r="C972" s="453"/>
      <c r="D972" s="422"/>
    </row>
    <row r="973" spans="1:4" s="336" customFormat="1" x14ac:dyDescent="0.25">
      <c r="A973" s="334">
        <v>1</v>
      </c>
      <c r="B973" s="353" t="s">
        <v>53</v>
      </c>
      <c r="C973" s="338" t="s">
        <v>980</v>
      </c>
      <c r="D973" s="422"/>
    </row>
    <row r="974" spans="1:4" s="336" customFormat="1" x14ac:dyDescent="0.25">
      <c r="A974" s="334">
        <v>2</v>
      </c>
      <c r="B974" s="335" t="s">
        <v>246</v>
      </c>
      <c r="C974" s="338" t="s">
        <v>981</v>
      </c>
      <c r="D974" s="422"/>
    </row>
    <row r="975" spans="1:4" s="336" customFormat="1" x14ac:dyDescent="0.25">
      <c r="A975" s="334">
        <v>3</v>
      </c>
      <c r="B975" s="335" t="s">
        <v>45</v>
      </c>
      <c r="C975" s="338" t="s">
        <v>982</v>
      </c>
      <c r="D975" s="422"/>
    </row>
    <row r="976" spans="1:4" s="336" customFormat="1" x14ac:dyDescent="0.25">
      <c r="A976" s="334"/>
      <c r="B976" s="354" t="s">
        <v>247</v>
      </c>
      <c r="C976" s="453"/>
      <c r="D976" s="422"/>
    </row>
    <row r="977" spans="1:4" s="336" customFormat="1" x14ac:dyDescent="0.25">
      <c r="A977" s="352">
        <v>1</v>
      </c>
      <c r="B977" s="349" t="s">
        <v>248</v>
      </c>
      <c r="C977" s="338" t="s">
        <v>983</v>
      </c>
      <c r="D977" s="422"/>
    </row>
    <row r="978" spans="1:4" s="336" customFormat="1" x14ac:dyDescent="0.25">
      <c r="A978" s="352">
        <v>2</v>
      </c>
      <c r="B978" s="349" t="s">
        <v>249</v>
      </c>
      <c r="C978" s="338" t="s">
        <v>984</v>
      </c>
      <c r="D978" s="422"/>
    </row>
    <row r="979" spans="1:4" x14ac:dyDescent="0.25">
      <c r="A979" s="61"/>
      <c r="B979" s="79" t="s">
        <v>98</v>
      </c>
      <c r="C979" s="223"/>
      <c r="D979" s="421"/>
    </row>
    <row r="980" spans="1:4" x14ac:dyDescent="0.25">
      <c r="A980" s="47">
        <v>3</v>
      </c>
      <c r="B980" s="65" t="s">
        <v>100</v>
      </c>
      <c r="C980" s="223" t="s">
        <v>985</v>
      </c>
      <c r="D980" s="421"/>
    </row>
    <row r="981" spans="1:4" x14ac:dyDescent="0.25">
      <c r="A981" s="134">
        <v>4</v>
      </c>
      <c r="B981" s="76" t="s">
        <v>252</v>
      </c>
      <c r="C981" s="260"/>
      <c r="D981" s="421"/>
    </row>
    <row r="982" spans="1:4" x14ac:dyDescent="0.25">
      <c r="A982" s="134">
        <v>5</v>
      </c>
      <c r="B982" s="65" t="s">
        <v>299</v>
      </c>
      <c r="C982" s="260"/>
      <c r="D982" s="405"/>
    </row>
    <row r="983" spans="1:4" x14ac:dyDescent="0.25">
      <c r="A983" s="134">
        <v>6</v>
      </c>
      <c r="B983" s="88" t="s">
        <v>101</v>
      </c>
      <c r="C983" s="223" t="s">
        <v>1027</v>
      </c>
      <c r="D983" s="421"/>
    </row>
    <row r="984" spans="1:4" x14ac:dyDescent="0.25">
      <c r="A984" s="134">
        <v>7</v>
      </c>
      <c r="B984" s="65" t="s">
        <v>102</v>
      </c>
      <c r="C984" s="223" t="s">
        <v>1026</v>
      </c>
      <c r="D984" s="421"/>
    </row>
    <row r="985" spans="1:4" x14ac:dyDescent="0.25">
      <c r="A985" s="134">
        <v>8</v>
      </c>
      <c r="B985" s="65" t="s">
        <v>255</v>
      </c>
      <c r="C985" s="223" t="s">
        <v>987</v>
      </c>
      <c r="D985" s="421"/>
    </row>
    <row r="986" spans="1:4" x14ac:dyDescent="0.25">
      <c r="A986" s="134">
        <v>9</v>
      </c>
      <c r="B986" s="65" t="s">
        <v>103</v>
      </c>
      <c r="C986" s="223" t="s">
        <v>988</v>
      </c>
      <c r="D986" s="421"/>
    </row>
    <row r="987" spans="1:4" x14ac:dyDescent="0.25">
      <c r="A987" s="134">
        <v>10</v>
      </c>
      <c r="B987" s="65" t="s">
        <v>316</v>
      </c>
      <c r="C987" s="223" t="s">
        <v>989</v>
      </c>
      <c r="D987" s="421"/>
    </row>
    <row r="988" spans="1:4" x14ac:dyDescent="0.25">
      <c r="A988" s="134">
        <v>11</v>
      </c>
      <c r="B988" s="65" t="s">
        <v>106</v>
      </c>
      <c r="C988" s="223" t="s">
        <v>990</v>
      </c>
      <c r="D988" s="421"/>
    </row>
    <row r="989" spans="1:4" x14ac:dyDescent="0.25">
      <c r="A989" s="134">
        <v>12</v>
      </c>
      <c r="B989" s="65" t="s">
        <v>105</v>
      </c>
      <c r="C989" s="223" t="s">
        <v>991</v>
      </c>
      <c r="D989" s="421"/>
    </row>
    <row r="990" spans="1:4" x14ac:dyDescent="0.25">
      <c r="A990" s="134">
        <v>13</v>
      </c>
      <c r="B990" s="88" t="s">
        <v>543</v>
      </c>
      <c r="C990" s="260"/>
      <c r="D990" s="421"/>
    </row>
    <row r="991" spans="1:4" x14ac:dyDescent="0.25">
      <c r="A991" s="134">
        <v>14</v>
      </c>
      <c r="B991" s="88" t="s">
        <v>477</v>
      </c>
      <c r="C991" s="260"/>
      <c r="D991" s="421"/>
    </row>
    <row r="992" spans="1:4" x14ac:dyDescent="0.25">
      <c r="A992" s="134">
        <v>15</v>
      </c>
      <c r="B992" s="88" t="s">
        <v>544</v>
      </c>
      <c r="C992" s="223" t="s">
        <v>1094</v>
      </c>
      <c r="D992" s="421"/>
    </row>
    <row r="993" spans="1:4" x14ac:dyDescent="0.25">
      <c r="A993" s="134">
        <v>16</v>
      </c>
      <c r="B993" s="76" t="s">
        <v>104</v>
      </c>
      <c r="C993" s="223" t="s">
        <v>992</v>
      </c>
      <c r="D993" s="421"/>
    </row>
    <row r="994" spans="1:4" ht="26.25" x14ac:dyDescent="0.25">
      <c r="A994" s="134">
        <v>17</v>
      </c>
      <c r="B994" s="70" t="s">
        <v>664</v>
      </c>
      <c r="C994" s="260" t="s">
        <v>1193</v>
      </c>
      <c r="D994" s="421"/>
    </row>
    <row r="995" spans="1:4" x14ac:dyDescent="0.25">
      <c r="A995" s="134">
        <v>18</v>
      </c>
      <c r="B995" s="76" t="s">
        <v>108</v>
      </c>
      <c r="C995" s="260"/>
      <c r="D995" s="421"/>
    </row>
    <row r="996" spans="1:4" x14ac:dyDescent="0.25">
      <c r="A996" s="61"/>
      <c r="B996" s="406" t="s">
        <v>300</v>
      </c>
      <c r="C996" s="260"/>
      <c r="D996" s="421"/>
    </row>
    <row r="997" spans="1:4" x14ac:dyDescent="0.25">
      <c r="A997" s="134">
        <v>19</v>
      </c>
      <c r="B997" s="86" t="s">
        <v>257</v>
      </c>
      <c r="C997" s="223" t="s">
        <v>993</v>
      </c>
      <c r="D997" s="421"/>
    </row>
    <row r="998" spans="1:4" x14ac:dyDescent="0.25">
      <c r="A998" s="134">
        <v>20</v>
      </c>
      <c r="B998" s="76" t="s">
        <v>258</v>
      </c>
      <c r="C998" s="223" t="s">
        <v>994</v>
      </c>
      <c r="D998" s="421"/>
    </row>
    <row r="999" spans="1:4" x14ac:dyDescent="0.25">
      <c r="A999" s="47">
        <v>21</v>
      </c>
      <c r="B999" s="65" t="s">
        <v>259</v>
      </c>
      <c r="C999" s="223" t="s">
        <v>1029</v>
      </c>
      <c r="D999" s="421"/>
    </row>
    <row r="1000" spans="1:4" x14ac:dyDescent="0.25">
      <c r="A1000" s="134">
        <v>22</v>
      </c>
      <c r="B1000" s="65" t="s">
        <v>260</v>
      </c>
      <c r="C1000" s="223" t="s">
        <v>1030</v>
      </c>
      <c r="D1000" s="421"/>
    </row>
    <row r="1001" spans="1:4" x14ac:dyDescent="0.25">
      <c r="A1001" s="134">
        <v>23</v>
      </c>
      <c r="B1001" s="65" t="s">
        <v>106</v>
      </c>
      <c r="C1001" s="223" t="s">
        <v>1031</v>
      </c>
      <c r="D1001" s="421"/>
    </row>
    <row r="1002" spans="1:4" ht="15.75" x14ac:dyDescent="0.25">
      <c r="A1002" s="61"/>
      <c r="B1002" s="221" t="s">
        <v>620</v>
      </c>
      <c r="C1002" s="271"/>
      <c r="D1002" s="421"/>
    </row>
    <row r="1003" spans="1:4" x14ac:dyDescent="0.25">
      <c r="A1003" s="90" t="s">
        <v>546</v>
      </c>
      <c r="B1003" s="5"/>
      <c r="C1003" s="271"/>
      <c r="D1003" s="421"/>
    </row>
    <row r="1004" spans="1:4" ht="15.75" x14ac:dyDescent="0.25">
      <c r="A1004" s="23"/>
      <c r="B1004" s="24" t="s">
        <v>39</v>
      </c>
      <c r="C1004" s="25"/>
      <c r="D1004" s="421"/>
    </row>
    <row r="1005" spans="1:4" x14ac:dyDescent="0.25">
      <c r="A1005" s="26">
        <v>1</v>
      </c>
      <c r="B1005" s="264" t="s">
        <v>209</v>
      </c>
      <c r="C1005" s="28" t="s">
        <v>1107</v>
      </c>
      <c r="D1005" s="421"/>
    </row>
    <row r="1006" spans="1:4" ht="15.75" x14ac:dyDescent="0.25">
      <c r="A1006" s="29">
        <v>3</v>
      </c>
      <c r="B1006" s="88" t="s">
        <v>94</v>
      </c>
      <c r="C1006" s="28" t="s">
        <v>1108</v>
      </c>
      <c r="D1006" s="421"/>
    </row>
    <row r="1007" spans="1:4" ht="30" x14ac:dyDescent="0.25">
      <c r="A1007" s="29">
        <v>4</v>
      </c>
      <c r="B1007" s="226" t="s">
        <v>96</v>
      </c>
      <c r="C1007" s="28" t="s">
        <v>1315</v>
      </c>
      <c r="D1007" s="421"/>
    </row>
    <row r="1008" spans="1:4" ht="15.75" x14ac:dyDescent="0.25">
      <c r="A1008" s="29">
        <v>5</v>
      </c>
      <c r="B1008" s="88" t="s">
        <v>45</v>
      </c>
      <c r="C1008" s="28" t="s">
        <v>1109</v>
      </c>
      <c r="D1008" s="421"/>
    </row>
    <row r="1009" spans="1:4" ht="15.75" x14ac:dyDescent="0.25">
      <c r="A1009" s="23"/>
      <c r="B1009" s="23" t="s">
        <v>77</v>
      </c>
      <c r="C1009" s="31"/>
      <c r="D1009" s="421"/>
    </row>
    <row r="1010" spans="1:4" ht="15.75" x14ac:dyDescent="0.25">
      <c r="A1010" s="29">
        <v>1</v>
      </c>
      <c r="B1010" s="22" t="s">
        <v>554</v>
      </c>
      <c r="C1010" s="28" t="s">
        <v>1112</v>
      </c>
      <c r="D1010" s="421"/>
    </row>
    <row r="1011" spans="1:4" ht="15.75" x14ac:dyDescent="0.25">
      <c r="A1011" s="29">
        <v>2</v>
      </c>
      <c r="B1011" s="22" t="s">
        <v>79</v>
      </c>
      <c r="C1011" s="28" t="s">
        <v>1113</v>
      </c>
      <c r="D1011" s="421"/>
    </row>
    <row r="1012" spans="1:4" ht="15.75" x14ac:dyDescent="0.25">
      <c r="A1012" s="23"/>
      <c r="B1012" s="23" t="s">
        <v>89</v>
      </c>
      <c r="C1012" s="31"/>
      <c r="D1012" s="421"/>
    </row>
    <row r="1013" spans="1:4" ht="15.75" x14ac:dyDescent="0.25">
      <c r="A1013" s="29" t="s">
        <v>61</v>
      </c>
      <c r="B1013" s="22" t="s">
        <v>90</v>
      </c>
      <c r="C1013" s="28" t="s">
        <v>1110</v>
      </c>
      <c r="D1013" s="421"/>
    </row>
    <row r="1014" spans="1:4" ht="15.75" x14ac:dyDescent="0.25">
      <c r="A1014" s="29" t="s">
        <v>63</v>
      </c>
      <c r="B1014" s="22" t="s">
        <v>64</v>
      </c>
      <c r="C1014" s="28" t="s">
        <v>1111</v>
      </c>
      <c r="D1014" s="421"/>
    </row>
    <row r="1015" spans="1:4" ht="15.75" x14ac:dyDescent="0.25">
      <c r="A1015" s="23"/>
      <c r="B1015" s="23" t="s">
        <v>540</v>
      </c>
      <c r="C1015" s="31"/>
      <c r="D1015" s="421"/>
    </row>
    <row r="1016" spans="1:4" ht="15.75" x14ac:dyDescent="0.25">
      <c r="A1016" s="29" t="s">
        <v>61</v>
      </c>
      <c r="B1016" s="22" t="s">
        <v>621</v>
      </c>
      <c r="C1016" s="28" t="s">
        <v>1114</v>
      </c>
      <c r="D1016" s="421"/>
    </row>
    <row r="1017" spans="1:4" ht="15.75" x14ac:dyDescent="0.25">
      <c r="A1017" s="29" t="s">
        <v>63</v>
      </c>
      <c r="B1017" s="22" t="s">
        <v>79</v>
      </c>
      <c r="C1017" s="28" t="s">
        <v>1115</v>
      </c>
      <c r="D1017" s="421"/>
    </row>
    <row r="1018" spans="1:4" ht="15.75" x14ac:dyDescent="0.25">
      <c r="A1018" s="23"/>
      <c r="B1018" s="23" t="s">
        <v>155</v>
      </c>
      <c r="C1018" s="31"/>
      <c r="D1018" s="421"/>
    </row>
    <row r="1019" spans="1:4" ht="15.75" x14ac:dyDescent="0.25">
      <c r="A1019" s="29">
        <v>1</v>
      </c>
      <c r="B1019" s="22" t="s">
        <v>32</v>
      </c>
      <c r="C1019" s="28"/>
      <c r="D1019" s="421"/>
    </row>
    <row r="1020" spans="1:4" ht="15.75" x14ac:dyDescent="0.25">
      <c r="A1020" s="29">
        <v>3</v>
      </c>
      <c r="B1020" s="22" t="s">
        <v>210</v>
      </c>
      <c r="C1020" s="28" t="s">
        <v>1116</v>
      </c>
      <c r="D1020" s="421"/>
    </row>
    <row r="1021" spans="1:4" x14ac:dyDescent="0.25">
      <c r="A1021" s="79" t="s">
        <v>227</v>
      </c>
      <c r="B1021" s="79"/>
      <c r="C1021" s="196"/>
      <c r="D1021" s="427"/>
    </row>
    <row r="1022" spans="1:4" ht="26.25" x14ac:dyDescent="0.25">
      <c r="A1022" s="61">
        <v>1</v>
      </c>
      <c r="B1022" s="88" t="s">
        <v>228</v>
      </c>
      <c r="C1022" s="260" t="s">
        <v>1235</v>
      </c>
      <c r="D1022" s="427"/>
    </row>
    <row r="1023" spans="1:4" x14ac:dyDescent="0.25">
      <c r="A1023" s="61">
        <v>2</v>
      </c>
      <c r="B1023" s="76" t="s">
        <v>230</v>
      </c>
      <c r="C1023" s="260" t="s">
        <v>1236</v>
      </c>
      <c r="D1023" s="427"/>
    </row>
    <row r="1024" spans="1:4" ht="26.25" x14ac:dyDescent="0.25">
      <c r="A1024" s="61">
        <v>3</v>
      </c>
      <c r="B1024" s="88" t="s">
        <v>231</v>
      </c>
      <c r="C1024" s="260" t="s">
        <v>1237</v>
      </c>
      <c r="D1024" s="427"/>
    </row>
    <row r="1025" spans="1:4" x14ac:dyDescent="0.25">
      <c r="A1025" s="61">
        <v>4</v>
      </c>
      <c r="B1025" s="76" t="s">
        <v>66</v>
      </c>
      <c r="C1025" s="260" t="s">
        <v>1238</v>
      </c>
      <c r="D1025" s="427"/>
    </row>
    <row r="1026" spans="1:4" x14ac:dyDescent="0.25">
      <c r="A1026" s="61">
        <v>5</v>
      </c>
      <c r="B1026" s="76" t="s">
        <v>59</v>
      </c>
      <c r="C1026" s="260" t="s">
        <v>1239</v>
      </c>
      <c r="D1026" s="427"/>
    </row>
    <row r="1027" spans="1:4" x14ac:dyDescent="0.25">
      <c r="A1027" s="61">
        <v>6</v>
      </c>
      <c r="B1027" s="76" t="s">
        <v>232</v>
      </c>
      <c r="C1027" s="260" t="s">
        <v>1240</v>
      </c>
      <c r="D1027" s="427"/>
    </row>
    <row r="1028" spans="1:4" x14ac:dyDescent="0.25">
      <c r="A1028" s="61">
        <v>7</v>
      </c>
      <c r="B1028" s="76" t="s">
        <v>53</v>
      </c>
      <c r="C1028" s="260" t="s">
        <v>1241</v>
      </c>
      <c r="D1028" s="427"/>
    </row>
    <row r="1029" spans="1:4" x14ac:dyDescent="0.25">
      <c r="A1029" s="61">
        <v>8</v>
      </c>
      <c r="B1029" s="76" t="s">
        <v>233</v>
      </c>
      <c r="C1029" s="260" t="s">
        <v>1248</v>
      </c>
      <c r="D1029" s="427"/>
    </row>
    <row r="1030" spans="1:4" x14ac:dyDescent="0.25">
      <c r="A1030" s="61">
        <v>9</v>
      </c>
      <c r="B1030" s="88" t="s">
        <v>64</v>
      </c>
      <c r="C1030" s="260" t="s">
        <v>1242</v>
      </c>
      <c r="D1030" s="427"/>
    </row>
    <row r="1031" spans="1:4" ht="30" x14ac:dyDescent="0.25">
      <c r="A1031" s="61">
        <v>10</v>
      </c>
      <c r="B1031" s="88" t="s">
        <v>210</v>
      </c>
      <c r="C1031" s="260" t="s">
        <v>1243</v>
      </c>
      <c r="D1031" s="427"/>
    </row>
    <row r="1032" spans="1:4" x14ac:dyDescent="0.25">
      <c r="A1032" s="61">
        <v>11</v>
      </c>
      <c r="B1032" s="76" t="s">
        <v>213</v>
      </c>
      <c r="C1032" s="260" t="s">
        <v>1244</v>
      </c>
      <c r="D1032" s="427"/>
    </row>
    <row r="1033" spans="1:4" x14ac:dyDescent="0.25">
      <c r="A1033" s="61">
        <v>12</v>
      </c>
      <c r="B1033" s="76" t="s">
        <v>595</v>
      </c>
      <c r="C1033" s="260" t="s">
        <v>1246</v>
      </c>
      <c r="D1033" s="427"/>
    </row>
    <row r="1034" spans="1:4" x14ac:dyDescent="0.25">
      <c r="A1034" s="61">
        <v>13</v>
      </c>
      <c r="B1034" s="76" t="s">
        <v>234</v>
      </c>
      <c r="C1034" s="260" t="s">
        <v>1247</v>
      </c>
      <c r="D1034" s="427"/>
    </row>
    <row r="1035" spans="1:4" x14ac:dyDescent="0.25">
      <c r="A1035" s="61">
        <v>14</v>
      </c>
      <c r="B1035" s="76" t="s">
        <v>94</v>
      </c>
      <c r="C1035" s="260" t="s">
        <v>1245</v>
      </c>
      <c r="D1035" s="427"/>
    </row>
    <row r="1036" spans="1:4" x14ac:dyDescent="0.25">
      <c r="A1036" s="61">
        <v>15</v>
      </c>
      <c r="B1036" s="76" t="s">
        <v>44</v>
      </c>
      <c r="C1036" s="260" t="s">
        <v>1249</v>
      </c>
      <c r="D1036" s="427"/>
    </row>
    <row r="1037" spans="1:4" x14ac:dyDescent="0.25">
      <c r="A1037" s="61">
        <v>16</v>
      </c>
      <c r="B1037" s="76" t="s">
        <v>45</v>
      </c>
      <c r="C1037" s="260" t="s">
        <v>1250</v>
      </c>
      <c r="D1037" s="427"/>
    </row>
    <row r="1038" spans="1:4" x14ac:dyDescent="0.25">
      <c r="A1038" s="123"/>
      <c r="B1038" s="79" t="s">
        <v>1150</v>
      </c>
      <c r="C1038" s="271"/>
      <c r="D1038" s="421"/>
    </row>
    <row r="1039" spans="1:4" ht="26.25" x14ac:dyDescent="0.25">
      <c r="A1039" s="61" t="s">
        <v>61</v>
      </c>
      <c r="B1039" s="88" t="s">
        <v>328</v>
      </c>
      <c r="C1039" s="223" t="s">
        <v>1151</v>
      </c>
      <c r="D1039" s="421"/>
    </row>
    <row r="1040" spans="1:4" x14ac:dyDescent="0.25">
      <c r="A1040" s="61" t="s">
        <v>63</v>
      </c>
      <c r="B1040" s="76" t="s">
        <v>294</v>
      </c>
      <c r="C1040" s="223" t="s">
        <v>1152</v>
      </c>
      <c r="D1040" s="421"/>
    </row>
    <row r="1041" spans="1:5" x14ac:dyDescent="0.25">
      <c r="A1041" s="61">
        <v>3</v>
      </c>
      <c r="B1041" s="76" t="s">
        <v>53</v>
      </c>
      <c r="C1041" s="223" t="s">
        <v>1153</v>
      </c>
      <c r="D1041" s="421"/>
    </row>
    <row r="1042" spans="1:5" x14ac:dyDescent="0.25">
      <c r="A1042" s="61">
        <v>4</v>
      </c>
      <c r="B1042" s="88" t="s">
        <v>295</v>
      </c>
      <c r="C1042" s="223" t="s">
        <v>1154</v>
      </c>
      <c r="D1042" s="427"/>
    </row>
    <row r="1043" spans="1:5" x14ac:dyDescent="0.25">
      <c r="A1043" s="61">
        <v>5</v>
      </c>
      <c r="B1043" s="76" t="s">
        <v>234</v>
      </c>
      <c r="C1043" s="223" t="s">
        <v>1155</v>
      </c>
      <c r="D1043" s="152"/>
    </row>
    <row r="1044" spans="1:5" x14ac:dyDescent="0.25">
      <c r="A1044" s="61">
        <v>6</v>
      </c>
      <c r="B1044" s="76" t="s">
        <v>44</v>
      </c>
      <c r="C1044" s="223" t="s">
        <v>1156</v>
      </c>
      <c r="D1044" s="152"/>
    </row>
    <row r="1045" spans="1:5" x14ac:dyDescent="0.25">
      <c r="A1045" s="56">
        <v>7</v>
      </c>
      <c r="B1045" s="76" t="s">
        <v>45</v>
      </c>
      <c r="C1045" s="223" t="s">
        <v>1157</v>
      </c>
      <c r="D1045" s="152"/>
      <c r="E1045" s="4"/>
    </row>
    <row r="1046" spans="1:5" x14ac:dyDescent="0.25">
      <c r="A1046" s="123"/>
      <c r="B1046" s="406" t="s">
        <v>330</v>
      </c>
      <c r="C1046" s="271"/>
      <c r="D1046" s="152"/>
      <c r="E1046" s="4"/>
    </row>
    <row r="1047" spans="1:5" ht="26.25" x14ac:dyDescent="0.25">
      <c r="A1047" s="56">
        <v>1</v>
      </c>
      <c r="B1047" s="103" t="s">
        <v>331</v>
      </c>
      <c r="C1047" s="223"/>
      <c r="D1047" s="152"/>
      <c r="E1047" s="4"/>
    </row>
    <row r="1048" spans="1:5" x14ac:dyDescent="0.25">
      <c r="A1048" s="61">
        <v>2</v>
      </c>
      <c r="B1048" s="103" t="s">
        <v>189</v>
      </c>
      <c r="C1048" s="223"/>
      <c r="D1048" s="103"/>
      <c r="E1048" s="4"/>
    </row>
    <row r="1049" spans="1:5" x14ac:dyDescent="0.25">
      <c r="A1049" s="79"/>
      <c r="B1049" s="166" t="s">
        <v>270</v>
      </c>
      <c r="C1049" s="271"/>
      <c r="D1049" s="152"/>
      <c r="E1049" s="403"/>
    </row>
    <row r="1050" spans="1:5" x14ac:dyDescent="0.25">
      <c r="A1050" s="687">
        <v>3</v>
      </c>
      <c r="B1050" s="694" t="s">
        <v>332</v>
      </c>
      <c r="C1050" s="330" t="s">
        <v>1057</v>
      </c>
      <c r="D1050" s="405"/>
    </row>
    <row r="1051" spans="1:5" x14ac:dyDescent="0.25">
      <c r="A1051" s="693"/>
      <c r="B1051" s="695"/>
      <c r="C1051" s="348" t="s">
        <v>1288</v>
      </c>
      <c r="D1051" s="421"/>
    </row>
    <row r="1052" spans="1:5" x14ac:dyDescent="0.25">
      <c r="A1052" s="688"/>
      <c r="B1052" s="696"/>
      <c r="C1052" s="223" t="s">
        <v>1316</v>
      </c>
      <c r="D1052" s="421"/>
    </row>
    <row r="1053" spans="1:5" x14ac:dyDescent="0.25">
      <c r="A1053" s="687">
        <v>4</v>
      </c>
      <c r="B1053" s="689" t="s">
        <v>272</v>
      </c>
      <c r="C1053" s="330" t="s">
        <v>1263</v>
      </c>
      <c r="D1053" s="405"/>
    </row>
    <row r="1054" spans="1:5" x14ac:dyDescent="0.25">
      <c r="A1054" s="688"/>
      <c r="B1054" s="690"/>
      <c r="C1054" s="223" t="s">
        <v>1318</v>
      </c>
      <c r="D1054" s="421"/>
    </row>
    <row r="1055" spans="1:5" x14ac:dyDescent="0.25">
      <c r="A1055" s="687">
        <v>5</v>
      </c>
      <c r="B1055" s="689" t="s">
        <v>333</v>
      </c>
      <c r="C1055" s="223"/>
      <c r="D1055" s="405"/>
      <c r="E1055" s="4"/>
    </row>
    <row r="1056" spans="1:5" x14ac:dyDescent="0.25">
      <c r="A1056" s="688"/>
      <c r="B1056" s="690"/>
      <c r="C1056" s="223" t="s">
        <v>1317</v>
      </c>
      <c r="D1056" s="421"/>
      <c r="E1056" s="402"/>
    </row>
    <row r="1057" spans="1:5" x14ac:dyDescent="0.25">
      <c r="A1057" s="687">
        <v>6</v>
      </c>
      <c r="B1057" s="689" t="s">
        <v>274</v>
      </c>
      <c r="C1057" s="330" t="s">
        <v>1058</v>
      </c>
      <c r="D1057" s="405"/>
      <c r="E1057" s="4"/>
    </row>
    <row r="1058" spans="1:5" x14ac:dyDescent="0.25">
      <c r="A1058" s="688"/>
      <c r="B1058" s="690"/>
      <c r="C1058" s="223" t="s">
        <v>1319</v>
      </c>
      <c r="D1058" s="421"/>
      <c r="E1058" s="402"/>
    </row>
    <row r="1059" spans="1:5" x14ac:dyDescent="0.25">
      <c r="A1059" s="687">
        <v>7</v>
      </c>
      <c r="B1059" s="689" t="s">
        <v>275</v>
      </c>
      <c r="C1059" s="223" t="s">
        <v>1053</v>
      </c>
      <c r="D1059" s="405"/>
      <c r="E1059" s="4"/>
    </row>
    <row r="1060" spans="1:5" x14ac:dyDescent="0.25">
      <c r="A1060" s="693"/>
      <c r="B1060" s="703"/>
      <c r="C1060" s="348" t="s">
        <v>1186</v>
      </c>
      <c r="D1060" s="432"/>
      <c r="E1060" s="402"/>
    </row>
    <row r="1061" spans="1:5" x14ac:dyDescent="0.25">
      <c r="A1061" s="688"/>
      <c r="B1061" s="690"/>
      <c r="C1061" s="223" t="s">
        <v>1320</v>
      </c>
      <c r="D1061" s="437"/>
      <c r="E1061" s="397"/>
    </row>
    <row r="1062" spans="1:5" x14ac:dyDescent="0.25">
      <c r="A1062" s="687">
        <v>8</v>
      </c>
      <c r="B1062" s="689" t="s">
        <v>334</v>
      </c>
      <c r="C1062" s="223" t="s">
        <v>1054</v>
      </c>
      <c r="E1062" s="396"/>
    </row>
    <row r="1063" spans="1:5" x14ac:dyDescent="0.25">
      <c r="A1063" s="693"/>
      <c r="B1063" s="703"/>
      <c r="C1063" s="348" t="s">
        <v>1322</v>
      </c>
      <c r="D1063" s="437"/>
      <c r="E1063" s="397"/>
    </row>
    <row r="1064" spans="1:5" x14ac:dyDescent="0.25">
      <c r="A1064" s="688"/>
      <c r="B1064" s="690"/>
      <c r="C1064" s="223" t="s">
        <v>1321</v>
      </c>
      <c r="D1064" s="437"/>
      <c r="E1064" s="397"/>
    </row>
    <row r="1065" spans="1:5" x14ac:dyDescent="0.25">
      <c r="A1065" s="61">
        <v>9</v>
      </c>
      <c r="B1065" s="76" t="s">
        <v>283</v>
      </c>
      <c r="C1065" s="223" t="s">
        <v>1055</v>
      </c>
      <c r="D1065" s="431"/>
      <c r="E1065" s="396"/>
    </row>
    <row r="1066" spans="1:5" x14ac:dyDescent="0.25">
      <c r="A1066" s="61">
        <v>10</v>
      </c>
      <c r="B1066" s="689" t="s">
        <v>44</v>
      </c>
      <c r="C1066" s="223" t="s">
        <v>1056</v>
      </c>
      <c r="E1066" s="396"/>
    </row>
    <row r="1067" spans="1:5" x14ac:dyDescent="0.25">
      <c r="A1067" s="61"/>
      <c r="B1067" s="690"/>
      <c r="C1067" s="223" t="s">
        <v>1321</v>
      </c>
      <c r="D1067" s="438"/>
      <c r="E1067" s="396"/>
    </row>
    <row r="1068" spans="1:5" x14ac:dyDescent="0.25">
      <c r="A1068" s="61">
        <v>11</v>
      </c>
      <c r="B1068" s="76" t="s">
        <v>45</v>
      </c>
      <c r="C1068" s="223"/>
      <c r="D1068" s="431"/>
      <c r="E1068" s="396"/>
    </row>
    <row r="1069" spans="1:5" x14ac:dyDescent="0.25">
      <c r="A1069" s="61">
        <v>12</v>
      </c>
      <c r="B1069" s="103" t="s">
        <v>253</v>
      </c>
      <c r="C1069" s="458" t="s">
        <v>1189</v>
      </c>
      <c r="D1069" s="421"/>
    </row>
    <row r="1070" spans="1:5" x14ac:dyDescent="0.25">
      <c r="A1070" s="61">
        <v>13</v>
      </c>
      <c r="B1070" s="103" t="s">
        <v>661</v>
      </c>
      <c r="C1070" s="458" t="s">
        <v>1188</v>
      </c>
      <c r="D1070" s="421"/>
    </row>
    <row r="1071" spans="1:5" x14ac:dyDescent="0.25">
      <c r="A1071" s="61"/>
      <c r="B1071" s="62" t="s">
        <v>336</v>
      </c>
      <c r="C1071" s="455"/>
      <c r="D1071" s="421"/>
    </row>
    <row r="1072" spans="1:5" ht="26.25" x14ac:dyDescent="0.25">
      <c r="A1072" s="36">
        <v>1</v>
      </c>
      <c r="B1072" s="88" t="s">
        <v>337</v>
      </c>
      <c r="C1072" s="330" t="s">
        <v>1251</v>
      </c>
      <c r="D1072" s="421"/>
    </row>
    <row r="1073" spans="1:5" x14ac:dyDescent="0.25">
      <c r="A1073" s="704">
        <v>2</v>
      </c>
      <c r="B1073" s="700" t="s">
        <v>338</v>
      </c>
      <c r="C1073" s="330" t="s">
        <v>996</v>
      </c>
      <c r="D1073" s="439"/>
      <c r="E1073" s="4"/>
    </row>
    <row r="1074" spans="1:5" x14ac:dyDescent="0.25">
      <c r="A1074" s="705"/>
      <c r="B1074" s="701"/>
      <c r="C1074" s="330" t="s">
        <v>998</v>
      </c>
      <c r="D1074" s="439"/>
    </row>
    <row r="1075" spans="1:5" x14ac:dyDescent="0.25">
      <c r="A1075" s="699"/>
      <c r="B1075" s="702"/>
      <c r="C1075" s="458" t="s">
        <v>1062</v>
      </c>
      <c r="D1075" s="439"/>
    </row>
    <row r="1076" spans="1:5" x14ac:dyDescent="0.25">
      <c r="A1076" s="36">
        <v>3</v>
      </c>
      <c r="B1076" s="76" t="s">
        <v>53</v>
      </c>
      <c r="C1076" s="223"/>
      <c r="D1076" s="421"/>
    </row>
    <row r="1077" spans="1:5" x14ac:dyDescent="0.25">
      <c r="A1077" s="697">
        <v>4</v>
      </c>
      <c r="B1077" s="700" t="s">
        <v>64</v>
      </c>
      <c r="C1077" s="330" t="s">
        <v>1194</v>
      </c>
      <c r="D1077" s="421"/>
      <c r="E1077" s="4"/>
    </row>
    <row r="1078" spans="1:5" ht="26.25" x14ac:dyDescent="0.25">
      <c r="A1078" s="698"/>
      <c r="B1078" s="701"/>
      <c r="C1078" s="348" t="s">
        <v>1252</v>
      </c>
      <c r="D1078" s="432" t="s">
        <v>1063</v>
      </c>
    </row>
    <row r="1079" spans="1:5" x14ac:dyDescent="0.25">
      <c r="A1079" s="699"/>
      <c r="B1079" s="702"/>
      <c r="C1079" s="348" t="s">
        <v>1195</v>
      </c>
      <c r="D1079" s="421"/>
      <c r="E1079" s="4"/>
    </row>
    <row r="1080" spans="1:5" x14ac:dyDescent="0.25">
      <c r="A1080" s="56">
        <v>5</v>
      </c>
      <c r="B1080" s="76" t="s">
        <v>45</v>
      </c>
      <c r="C1080" s="330" t="s">
        <v>997</v>
      </c>
      <c r="D1080" s="421"/>
    </row>
    <row r="1081" spans="1:5" x14ac:dyDescent="0.25">
      <c r="A1081" s="56">
        <v>6</v>
      </c>
      <c r="B1081" s="103" t="s">
        <v>661</v>
      </c>
      <c r="C1081" s="459" t="s">
        <v>1187</v>
      </c>
      <c r="D1081" s="421"/>
    </row>
    <row r="1082" spans="1:5" ht="15.75" x14ac:dyDescent="0.25">
      <c r="A1082" s="61"/>
      <c r="B1082" s="298" t="s">
        <v>341</v>
      </c>
      <c r="C1082" s="271"/>
      <c r="D1082" s="421"/>
    </row>
    <row r="1083" spans="1:5" x14ac:dyDescent="0.25">
      <c r="A1083" s="61"/>
      <c r="B1083" s="299" t="s">
        <v>185</v>
      </c>
      <c r="C1083" s="271"/>
      <c r="D1083" s="421"/>
    </row>
    <row r="1084" spans="1:5" x14ac:dyDescent="0.25">
      <c r="A1084" s="56">
        <v>1</v>
      </c>
      <c r="B1084" s="70" t="s">
        <v>342</v>
      </c>
      <c r="C1084" s="331"/>
      <c r="D1084" s="421"/>
    </row>
    <row r="1085" spans="1:5" x14ac:dyDescent="0.25">
      <c r="A1085" s="56">
        <v>2</v>
      </c>
      <c r="B1085" s="70" t="s">
        <v>309</v>
      </c>
      <c r="C1085" s="331"/>
      <c r="D1085" s="421"/>
    </row>
    <row r="1086" spans="1:5" x14ac:dyDescent="0.25">
      <c r="A1086" s="56">
        <v>3</v>
      </c>
      <c r="B1086" s="65" t="s">
        <v>53</v>
      </c>
      <c r="C1086" s="331"/>
      <c r="D1086" s="421"/>
    </row>
    <row r="1087" spans="1:5" x14ac:dyDescent="0.25">
      <c r="A1087" s="61"/>
      <c r="B1087" s="79" t="s">
        <v>343</v>
      </c>
      <c r="C1087" s="271"/>
      <c r="D1087" s="421"/>
    </row>
    <row r="1088" spans="1:5" ht="26.25" x14ac:dyDescent="0.25">
      <c r="A1088" s="56">
        <v>1</v>
      </c>
      <c r="B1088" s="88" t="s">
        <v>344</v>
      </c>
      <c r="C1088" s="223"/>
      <c r="D1088" s="427"/>
    </row>
    <row r="1089" spans="1:5" x14ac:dyDescent="0.25">
      <c r="A1089" s="56">
        <v>2</v>
      </c>
      <c r="B1089" s="76" t="s">
        <v>345</v>
      </c>
      <c r="C1089" s="330" t="s">
        <v>999</v>
      </c>
      <c r="D1089" s="421"/>
    </row>
    <row r="1090" spans="1:5" x14ac:dyDescent="0.25">
      <c r="A1090" s="56"/>
      <c r="B1090" s="76"/>
      <c r="C1090" s="460" t="s">
        <v>1306</v>
      </c>
      <c r="D1090" s="427"/>
      <c r="E1090" s="347"/>
    </row>
    <row r="1091" spans="1:5" x14ac:dyDescent="0.25">
      <c r="A1091" s="56"/>
      <c r="B1091" s="76"/>
      <c r="C1091" s="330" t="s">
        <v>1304</v>
      </c>
      <c r="D1091" s="427"/>
      <c r="E1091" s="347"/>
    </row>
    <row r="1092" spans="1:5" x14ac:dyDescent="0.25">
      <c r="A1092" s="56"/>
      <c r="B1092" s="76"/>
      <c r="C1092" s="330" t="s">
        <v>1305</v>
      </c>
      <c r="D1092" s="427"/>
      <c r="E1092" s="347"/>
    </row>
    <row r="1093" spans="1:5" x14ac:dyDescent="0.25">
      <c r="A1093" s="36">
        <v>3</v>
      </c>
      <c r="B1093" s="65" t="s">
        <v>53</v>
      </c>
      <c r="C1093" s="28"/>
      <c r="D1093" s="427"/>
    </row>
    <row r="1094" spans="1:5" x14ac:dyDescent="0.25">
      <c r="A1094" s="704">
        <v>4</v>
      </c>
      <c r="B1094" s="689" t="s">
        <v>64</v>
      </c>
      <c r="C1094" s="330" t="s">
        <v>1092</v>
      </c>
      <c r="D1094" s="421"/>
    </row>
    <row r="1095" spans="1:5" ht="26.25" x14ac:dyDescent="0.25">
      <c r="A1095" s="706"/>
      <c r="B1095" s="690"/>
      <c r="C1095" s="330" t="s">
        <v>1307</v>
      </c>
      <c r="D1095" s="427"/>
      <c r="E1095" s="347"/>
    </row>
    <row r="1096" spans="1:5" x14ac:dyDescent="0.25">
      <c r="A1096" s="36">
        <v>5</v>
      </c>
      <c r="B1096" s="76" t="s">
        <v>44</v>
      </c>
      <c r="C1096" s="28"/>
      <c r="D1096" s="427"/>
    </row>
    <row r="1097" spans="1:5" x14ac:dyDescent="0.25">
      <c r="A1097" s="320">
        <v>6</v>
      </c>
      <c r="B1097" s="76" t="s">
        <v>45</v>
      </c>
      <c r="C1097" s="28"/>
      <c r="D1097" s="427"/>
    </row>
    <row r="1098" spans="1:5" x14ac:dyDescent="0.25">
      <c r="A1098" s="320">
        <v>7</v>
      </c>
      <c r="B1098" s="103" t="s">
        <v>253</v>
      </c>
      <c r="C1098" s="223" t="s">
        <v>1290</v>
      </c>
      <c r="D1098" s="427"/>
    </row>
    <row r="1099" spans="1:5" x14ac:dyDescent="0.25">
      <c r="A1099" s="320">
        <v>8</v>
      </c>
      <c r="B1099" s="103" t="s">
        <v>661</v>
      </c>
      <c r="C1099" s="223" t="s">
        <v>1291</v>
      </c>
      <c r="D1099" s="427"/>
    </row>
    <row r="1100" spans="1:5" x14ac:dyDescent="0.25">
      <c r="A1100" s="61"/>
      <c r="B1100" s="120" t="s">
        <v>347</v>
      </c>
      <c r="C1100" s="271"/>
      <c r="D1100" s="421"/>
    </row>
    <row r="1101" spans="1:5" x14ac:dyDescent="0.25">
      <c r="A1101" s="36">
        <v>1</v>
      </c>
      <c r="B1101" s="76" t="s">
        <v>348</v>
      </c>
      <c r="C1101" s="331" t="s">
        <v>1041</v>
      </c>
      <c r="D1101" s="421"/>
    </row>
    <row r="1102" spans="1:5" x14ac:dyDescent="0.25">
      <c r="A1102" s="697">
        <v>2</v>
      </c>
      <c r="B1102" s="689" t="s">
        <v>349</v>
      </c>
      <c r="C1102" s="331" t="s">
        <v>1042</v>
      </c>
      <c r="D1102" s="421"/>
    </row>
    <row r="1103" spans="1:5" x14ac:dyDescent="0.25">
      <c r="A1103" s="707"/>
      <c r="B1103" s="690"/>
      <c r="C1103" s="331" t="s">
        <v>1298</v>
      </c>
      <c r="D1103" s="421"/>
    </row>
    <row r="1104" spans="1:5" x14ac:dyDescent="0.25">
      <c r="A1104" s="56">
        <v>3</v>
      </c>
      <c r="B1104" s="76" t="s">
        <v>53</v>
      </c>
      <c r="C1104" s="331" t="s">
        <v>1043</v>
      </c>
      <c r="D1104" s="421"/>
    </row>
    <row r="1105" spans="1:4" x14ac:dyDescent="0.25">
      <c r="A1105" s="36">
        <v>4</v>
      </c>
      <c r="B1105" s="76" t="s">
        <v>595</v>
      </c>
      <c r="C1105" s="331" t="s">
        <v>1299</v>
      </c>
      <c r="D1105" s="421"/>
    </row>
    <row r="1106" spans="1:4" x14ac:dyDescent="0.25">
      <c r="A1106" s="697">
        <v>5</v>
      </c>
      <c r="B1106" s="689" t="s">
        <v>64</v>
      </c>
      <c r="C1106" s="331" t="s">
        <v>1044</v>
      </c>
      <c r="D1106" s="421"/>
    </row>
    <row r="1107" spans="1:4" x14ac:dyDescent="0.25">
      <c r="A1107" s="707"/>
      <c r="B1107" s="690"/>
      <c r="C1107" s="331" t="s">
        <v>1299</v>
      </c>
      <c r="D1107" s="421"/>
    </row>
    <row r="1108" spans="1:4" x14ac:dyDescent="0.25">
      <c r="A1108" s="36">
        <v>6</v>
      </c>
      <c r="B1108" s="76" t="s">
        <v>44</v>
      </c>
      <c r="C1108" s="331" t="s">
        <v>1045</v>
      </c>
      <c r="D1108" s="421"/>
    </row>
    <row r="1109" spans="1:4" x14ac:dyDescent="0.25">
      <c r="A1109" s="320">
        <v>7</v>
      </c>
      <c r="B1109" s="76" t="s">
        <v>45</v>
      </c>
      <c r="C1109" s="331" t="s">
        <v>1046</v>
      </c>
      <c r="D1109" s="421"/>
    </row>
    <row r="1110" spans="1:4" x14ac:dyDescent="0.25">
      <c r="A1110" s="320">
        <v>8</v>
      </c>
      <c r="B1110" s="103" t="s">
        <v>253</v>
      </c>
      <c r="C1110" s="223" t="s">
        <v>1290</v>
      </c>
      <c r="D1110" s="421"/>
    </row>
    <row r="1111" spans="1:4" x14ac:dyDescent="0.25">
      <c r="A1111" s="320">
        <v>8</v>
      </c>
      <c r="B1111" s="103" t="s">
        <v>661</v>
      </c>
      <c r="C1111" s="223" t="s">
        <v>1291</v>
      </c>
      <c r="D1111" s="421"/>
    </row>
    <row r="1112" spans="1:4" x14ac:dyDescent="0.25">
      <c r="A1112" s="61"/>
      <c r="B1112" s="62" t="s">
        <v>351</v>
      </c>
      <c r="C1112" s="271"/>
      <c r="D1112" s="421"/>
    </row>
    <row r="1113" spans="1:4" x14ac:dyDescent="0.25">
      <c r="A1113" s="36">
        <v>1</v>
      </c>
      <c r="B1113" s="76" t="s">
        <v>352</v>
      </c>
      <c r="C1113" s="223" t="s">
        <v>1297</v>
      </c>
      <c r="D1113" s="421"/>
    </row>
    <row r="1114" spans="1:4" x14ac:dyDescent="0.25">
      <c r="A1114" s="704">
        <v>2</v>
      </c>
      <c r="B1114" s="689" t="s">
        <v>229</v>
      </c>
      <c r="C1114" s="331" t="s">
        <v>1000</v>
      </c>
      <c r="D1114" s="421"/>
    </row>
    <row r="1115" spans="1:4" x14ac:dyDescent="0.25">
      <c r="A1115" s="705"/>
      <c r="B1115" s="703"/>
      <c r="C1115" s="331" t="s">
        <v>1010</v>
      </c>
      <c r="D1115" s="440"/>
    </row>
    <row r="1116" spans="1:4" x14ac:dyDescent="0.25">
      <c r="A1116" s="706"/>
      <c r="B1116" s="690"/>
      <c r="C1116" s="331" t="s">
        <v>1302</v>
      </c>
      <c r="D1116" s="440"/>
    </row>
    <row r="1117" spans="1:4" x14ac:dyDescent="0.25">
      <c r="A1117" s="36">
        <v>3</v>
      </c>
      <c r="B1117" s="76" t="s">
        <v>353</v>
      </c>
      <c r="C1117" s="331" t="s">
        <v>1001</v>
      </c>
      <c r="D1117" s="421"/>
    </row>
    <row r="1118" spans="1:4" x14ac:dyDescent="0.25">
      <c r="A1118" s="704">
        <v>4</v>
      </c>
      <c r="B1118" s="689" t="s">
        <v>233</v>
      </c>
      <c r="C1118" s="331" t="s">
        <v>1002</v>
      </c>
      <c r="D1118" s="421"/>
    </row>
    <row r="1119" spans="1:4" x14ac:dyDescent="0.25">
      <c r="A1119" s="705"/>
      <c r="B1119" s="703"/>
      <c r="C1119" s="331" t="s">
        <v>1011</v>
      </c>
      <c r="D1119" s="440"/>
    </row>
    <row r="1120" spans="1:4" x14ac:dyDescent="0.25">
      <c r="A1120" s="706"/>
      <c r="B1120" s="690"/>
      <c r="C1120" s="331" t="s">
        <v>1303</v>
      </c>
      <c r="D1120" s="440"/>
    </row>
    <row r="1121" spans="1:4" x14ac:dyDescent="0.25">
      <c r="A1121" s="36">
        <v>5</v>
      </c>
      <c r="B1121" s="76" t="s">
        <v>44</v>
      </c>
      <c r="C1121" s="331" t="s">
        <v>1012</v>
      </c>
      <c r="D1121" s="421"/>
    </row>
    <row r="1122" spans="1:4" x14ac:dyDescent="0.25">
      <c r="A1122" s="36">
        <v>6</v>
      </c>
      <c r="B1122" s="76" t="s">
        <v>45</v>
      </c>
      <c r="C1122" s="331" t="s">
        <v>1003</v>
      </c>
      <c r="D1122" s="421"/>
    </row>
    <row r="1123" spans="1:4" x14ac:dyDescent="0.25">
      <c r="A1123" s="320">
        <v>7</v>
      </c>
      <c r="B1123" s="103" t="s">
        <v>253</v>
      </c>
      <c r="C1123" s="223" t="s">
        <v>1290</v>
      </c>
      <c r="D1123" s="421"/>
    </row>
    <row r="1124" spans="1:4" x14ac:dyDescent="0.25">
      <c r="A1124" s="320">
        <v>8</v>
      </c>
      <c r="B1124" s="103" t="s">
        <v>661</v>
      </c>
      <c r="C1124" s="223" t="s">
        <v>1291</v>
      </c>
      <c r="D1124" s="421"/>
    </row>
    <row r="1125" spans="1:4" x14ac:dyDescent="0.25">
      <c r="A1125" s="123"/>
      <c r="B1125" s="406" t="s">
        <v>354</v>
      </c>
      <c r="C1125" s="260"/>
      <c r="D1125" s="421"/>
    </row>
    <row r="1126" spans="1:4" x14ac:dyDescent="0.25">
      <c r="A1126" s="697">
        <v>1</v>
      </c>
      <c r="B1126" s="689" t="s">
        <v>355</v>
      </c>
      <c r="C1126" s="331" t="s">
        <v>1004</v>
      </c>
      <c r="D1126" s="421"/>
    </row>
    <row r="1127" spans="1:4" x14ac:dyDescent="0.25">
      <c r="A1127" s="699"/>
      <c r="B1127" s="708"/>
      <c r="C1127" s="331" t="s">
        <v>1013</v>
      </c>
      <c r="D1127" s="440"/>
    </row>
    <row r="1128" spans="1:4" x14ac:dyDescent="0.25">
      <c r="A1128" s="697">
        <v>2</v>
      </c>
      <c r="B1128" s="689" t="s">
        <v>233</v>
      </c>
      <c r="C1128" s="331" t="s">
        <v>1005</v>
      </c>
      <c r="D1128" s="421"/>
    </row>
    <row r="1129" spans="1:4" x14ac:dyDescent="0.25">
      <c r="A1129" s="707"/>
      <c r="B1129" s="708"/>
      <c r="C1129" s="331" t="s">
        <v>1014</v>
      </c>
      <c r="D1129" s="440"/>
    </row>
    <row r="1130" spans="1:4" x14ac:dyDescent="0.25">
      <c r="A1130" s="56">
        <v>3</v>
      </c>
      <c r="B1130" s="76" t="s">
        <v>45</v>
      </c>
      <c r="C1130" s="331" t="s">
        <v>1015</v>
      </c>
      <c r="D1130" s="421"/>
    </row>
    <row r="1131" spans="1:4" x14ac:dyDescent="0.25">
      <c r="A1131" s="56">
        <v>4</v>
      </c>
      <c r="B1131" s="103" t="s">
        <v>661</v>
      </c>
      <c r="C1131" s="223" t="s">
        <v>1291</v>
      </c>
      <c r="D1131" s="421"/>
    </row>
    <row r="1132" spans="1:4" x14ac:dyDescent="0.25">
      <c r="A1132" s="61"/>
      <c r="B1132" s="79" t="s">
        <v>625</v>
      </c>
      <c r="C1132" s="461" t="s">
        <v>1064</v>
      </c>
      <c r="D1132" s="441"/>
    </row>
    <row r="1133" spans="1:4" x14ac:dyDescent="0.25">
      <c r="A1133" s="61">
        <v>1</v>
      </c>
      <c r="B1133" s="65" t="s">
        <v>229</v>
      </c>
      <c r="C1133" s="461" t="s">
        <v>1300</v>
      </c>
      <c r="D1133" s="441"/>
    </row>
    <row r="1134" spans="1:4" x14ac:dyDescent="0.25">
      <c r="A1134" s="61">
        <v>2</v>
      </c>
      <c r="B1134" s="65" t="s">
        <v>233</v>
      </c>
      <c r="C1134" s="461" t="s">
        <v>1301</v>
      </c>
      <c r="D1134" s="441"/>
    </row>
    <row r="1135" spans="1:4" x14ac:dyDescent="0.25">
      <c r="A1135" s="61">
        <v>3</v>
      </c>
      <c r="B1135" s="65" t="s">
        <v>45</v>
      </c>
      <c r="C1135" s="331"/>
      <c r="D1135" s="421"/>
    </row>
    <row r="1136" spans="1:4" x14ac:dyDescent="0.25">
      <c r="A1136" s="61">
        <v>4</v>
      </c>
      <c r="B1136" s="103" t="s">
        <v>661</v>
      </c>
      <c r="C1136" s="223" t="s">
        <v>1291</v>
      </c>
      <c r="D1136" s="421"/>
    </row>
    <row r="1137" spans="1:4" x14ac:dyDescent="0.25">
      <c r="A1137" s="61"/>
      <c r="B1137" s="79" t="s">
        <v>626</v>
      </c>
      <c r="C1137" s="462"/>
      <c r="D1137" s="421"/>
    </row>
    <row r="1138" spans="1:4" x14ac:dyDescent="0.25">
      <c r="A1138" s="61" t="s">
        <v>61</v>
      </c>
      <c r="B1138" s="709" t="s">
        <v>229</v>
      </c>
      <c r="C1138" s="331" t="s">
        <v>1006</v>
      </c>
      <c r="D1138" s="421"/>
    </row>
    <row r="1139" spans="1:4" x14ac:dyDescent="0.25">
      <c r="A1139" s="61"/>
      <c r="B1139" s="710"/>
      <c r="C1139" s="461" t="s">
        <v>1293</v>
      </c>
      <c r="D1139" s="441"/>
    </row>
    <row r="1140" spans="1:4" x14ac:dyDescent="0.25">
      <c r="A1140" s="61"/>
      <c r="B1140" s="708"/>
      <c r="C1140" s="461" t="s">
        <v>1295</v>
      </c>
      <c r="D1140" s="441"/>
    </row>
    <row r="1141" spans="1:4" x14ac:dyDescent="0.25">
      <c r="A1141" s="61" t="s">
        <v>63</v>
      </c>
      <c r="B1141" s="709" t="s">
        <v>233</v>
      </c>
      <c r="C1141" s="331" t="s">
        <v>1007</v>
      </c>
      <c r="D1141" s="421"/>
    </row>
    <row r="1142" spans="1:4" x14ac:dyDescent="0.25">
      <c r="A1142" s="61"/>
      <c r="B1142" s="710"/>
      <c r="C1142" s="461" t="s">
        <v>1294</v>
      </c>
      <c r="D1142" s="441"/>
    </row>
    <row r="1143" spans="1:4" x14ac:dyDescent="0.25">
      <c r="A1143" s="61"/>
      <c r="B1143" s="708"/>
      <c r="C1143" s="461" t="s">
        <v>1296</v>
      </c>
      <c r="D1143" s="441"/>
    </row>
    <row r="1144" spans="1:4" x14ac:dyDescent="0.25">
      <c r="A1144" s="61" t="s">
        <v>163</v>
      </c>
      <c r="B1144" s="65" t="s">
        <v>64</v>
      </c>
      <c r="C1144" s="331"/>
      <c r="D1144" s="421"/>
    </row>
    <row r="1145" spans="1:4" x14ac:dyDescent="0.25">
      <c r="A1145" s="61">
        <v>4</v>
      </c>
      <c r="B1145" s="65" t="s">
        <v>45</v>
      </c>
      <c r="C1145" s="331" t="s">
        <v>1008</v>
      </c>
      <c r="D1145" s="421"/>
    </row>
    <row r="1146" spans="1:4" x14ac:dyDescent="0.25">
      <c r="A1146" s="61">
        <v>5</v>
      </c>
      <c r="B1146" s="103" t="s">
        <v>661</v>
      </c>
      <c r="C1146" s="223" t="s">
        <v>1291</v>
      </c>
      <c r="D1146" s="421"/>
    </row>
    <row r="1147" spans="1:4" x14ac:dyDescent="0.25">
      <c r="A1147" s="134"/>
      <c r="B1147" s="302" t="s">
        <v>356</v>
      </c>
      <c r="C1147" s="462"/>
      <c r="D1147" s="421"/>
    </row>
    <row r="1148" spans="1:4" x14ac:dyDescent="0.25">
      <c r="A1148" s="56">
        <v>1</v>
      </c>
      <c r="B1148" s="76" t="s">
        <v>229</v>
      </c>
      <c r="C1148" s="331" t="s">
        <v>1324</v>
      </c>
      <c r="D1148" s="440"/>
    </row>
    <row r="1149" spans="1:4" x14ac:dyDescent="0.25">
      <c r="A1149" s="56">
        <v>2</v>
      </c>
      <c r="B1149" s="76" t="s">
        <v>233</v>
      </c>
      <c r="C1149" s="331" t="s">
        <v>1323</v>
      </c>
      <c r="D1149" s="440"/>
    </row>
    <row r="1150" spans="1:4" x14ac:dyDescent="0.25">
      <c r="A1150" s="56">
        <v>3</v>
      </c>
      <c r="B1150" s="76" t="s">
        <v>45</v>
      </c>
      <c r="C1150" s="331" t="s">
        <v>1009</v>
      </c>
      <c r="D1150" s="421"/>
    </row>
    <row r="1151" spans="1:4" x14ac:dyDescent="0.25">
      <c r="A1151" s="56">
        <v>4</v>
      </c>
      <c r="B1151" s="103" t="s">
        <v>661</v>
      </c>
      <c r="C1151" s="223" t="s">
        <v>1291</v>
      </c>
      <c r="D1151" s="421"/>
    </row>
    <row r="1152" spans="1:4" x14ac:dyDescent="0.25">
      <c r="A1152" s="61"/>
      <c r="B1152" s="62" t="s">
        <v>628</v>
      </c>
      <c r="C1152" s="271"/>
      <c r="D1152" s="421"/>
    </row>
    <row r="1153" spans="1:5" ht="26.25" x14ac:dyDescent="0.25">
      <c r="A1153" s="56">
        <v>1</v>
      </c>
      <c r="B1153" s="88" t="s">
        <v>359</v>
      </c>
      <c r="C1153" s="113" t="s">
        <v>1158</v>
      </c>
      <c r="D1153" s="421"/>
    </row>
    <row r="1154" spans="1:5" ht="26.25" x14ac:dyDescent="0.25">
      <c r="A1154" s="697">
        <v>2</v>
      </c>
      <c r="B1154" s="711" t="s">
        <v>360</v>
      </c>
      <c r="C1154" s="331" t="s">
        <v>1308</v>
      </c>
      <c r="D1154" s="421"/>
    </row>
    <row r="1155" spans="1:5" x14ac:dyDescent="0.25">
      <c r="A1155" s="698"/>
      <c r="B1155" s="712"/>
      <c r="C1155" s="331" t="s">
        <v>995</v>
      </c>
      <c r="D1155" s="440"/>
      <c r="E1155" s="333"/>
    </row>
    <row r="1156" spans="1:5" ht="26.25" x14ac:dyDescent="0.25">
      <c r="A1156" s="707"/>
      <c r="B1156" s="713"/>
      <c r="C1156" s="348" t="s">
        <v>1310</v>
      </c>
      <c r="D1156" s="440"/>
      <c r="E1156" s="333"/>
    </row>
    <row r="1157" spans="1:5" x14ac:dyDescent="0.25">
      <c r="A1157" s="697">
        <v>3</v>
      </c>
      <c r="B1157" s="689" t="s">
        <v>244</v>
      </c>
      <c r="C1157" s="463" t="s">
        <v>1037</v>
      </c>
      <c r="D1157" s="421"/>
    </row>
    <row r="1158" spans="1:5" x14ac:dyDescent="0.25">
      <c r="A1158" s="698"/>
      <c r="B1158" s="703"/>
      <c r="C1158" s="331" t="s">
        <v>1039</v>
      </c>
      <c r="D1158" s="440"/>
      <c r="E1158" s="333"/>
    </row>
    <row r="1159" spans="1:5" ht="26.25" x14ac:dyDescent="0.25">
      <c r="A1159" s="707"/>
      <c r="B1159" s="690"/>
      <c r="C1159" s="348" t="s">
        <v>1309</v>
      </c>
      <c r="D1159" s="440"/>
      <c r="E1159" s="333"/>
    </row>
    <row r="1160" spans="1:5" x14ac:dyDescent="0.25">
      <c r="A1160" s="56">
        <v>4</v>
      </c>
      <c r="B1160" s="76" t="s">
        <v>629</v>
      </c>
      <c r="C1160" s="223" t="s">
        <v>1161</v>
      </c>
      <c r="D1160" s="421"/>
    </row>
    <row r="1161" spans="1:5" x14ac:dyDescent="0.25">
      <c r="A1161" s="56">
        <v>5</v>
      </c>
      <c r="B1161" s="76" t="s">
        <v>64</v>
      </c>
      <c r="C1161" s="223" t="s">
        <v>1160</v>
      </c>
      <c r="D1161" s="421"/>
    </row>
    <row r="1162" spans="1:5" x14ac:dyDescent="0.25">
      <c r="A1162" s="56">
        <v>6</v>
      </c>
      <c r="B1162" s="76" t="s">
        <v>45</v>
      </c>
      <c r="C1162" s="331" t="s">
        <v>1038</v>
      </c>
      <c r="D1162" s="421"/>
    </row>
    <row r="1163" spans="1:5" x14ac:dyDescent="0.25">
      <c r="A1163" s="56"/>
      <c r="B1163" s="76"/>
      <c r="C1163" s="331" t="s">
        <v>1040</v>
      </c>
      <c r="D1163" s="440"/>
      <c r="E1163" s="402"/>
    </row>
    <row r="1164" spans="1:5" x14ac:dyDescent="0.25">
      <c r="A1164" s="56"/>
      <c r="B1164" s="76"/>
      <c r="C1164" s="464" t="s">
        <v>1163</v>
      </c>
      <c r="D1164" s="440"/>
      <c r="E1164" s="402"/>
    </row>
    <row r="1165" spans="1:5" x14ac:dyDescent="0.25">
      <c r="A1165" s="56">
        <v>7</v>
      </c>
      <c r="B1165" s="76" t="s">
        <v>224</v>
      </c>
      <c r="C1165" s="223" t="s">
        <v>1159</v>
      </c>
      <c r="D1165" s="421"/>
    </row>
    <row r="1166" spans="1:5" x14ac:dyDescent="0.25">
      <c r="A1166" s="56">
        <v>8</v>
      </c>
      <c r="B1166" s="103" t="s">
        <v>661</v>
      </c>
      <c r="C1166" s="223" t="s">
        <v>1162</v>
      </c>
      <c r="D1166" s="421"/>
    </row>
    <row r="1167" spans="1:5" ht="15.75" x14ac:dyDescent="0.25">
      <c r="A1167" s="61"/>
      <c r="B1167" s="221" t="s">
        <v>362</v>
      </c>
      <c r="C1167" s="271"/>
      <c r="D1167" s="421"/>
    </row>
    <row r="1168" spans="1:5" x14ac:dyDescent="0.25">
      <c r="A1168" s="36">
        <v>1</v>
      </c>
      <c r="B1168" s="103" t="s">
        <v>363</v>
      </c>
      <c r="C1168" s="223"/>
      <c r="D1168" s="421"/>
    </row>
    <row r="1169" spans="1:4" x14ac:dyDescent="0.25">
      <c r="A1169" s="36">
        <v>2</v>
      </c>
      <c r="B1169" s="86" t="s">
        <v>364</v>
      </c>
      <c r="C1169" s="223"/>
      <c r="D1169" s="421"/>
    </row>
    <row r="1170" spans="1:4" x14ac:dyDescent="0.25">
      <c r="A1170" s="36">
        <v>3</v>
      </c>
      <c r="B1170" s="76" t="s">
        <v>365</v>
      </c>
      <c r="C1170" s="223"/>
      <c r="D1170" s="421"/>
    </row>
    <row r="1171" spans="1:4" x14ac:dyDescent="0.25">
      <c r="A1171" s="36">
        <v>4</v>
      </c>
      <c r="B1171" s="76" t="s">
        <v>366</v>
      </c>
      <c r="C1171" s="223"/>
      <c r="D1171" s="421"/>
    </row>
    <row r="1172" spans="1:4" x14ac:dyDescent="0.25">
      <c r="A1172" s="36">
        <v>5</v>
      </c>
      <c r="B1172" s="76" t="s">
        <v>630</v>
      </c>
      <c r="C1172" s="223"/>
      <c r="D1172" s="421"/>
    </row>
    <row r="1173" spans="1:4" x14ac:dyDescent="0.25">
      <c r="A1173" s="36">
        <v>6</v>
      </c>
      <c r="B1173" s="76" t="s">
        <v>45</v>
      </c>
      <c r="C1173" s="223"/>
      <c r="D1173" s="421"/>
    </row>
    <row r="1174" spans="1:4" x14ac:dyDescent="0.25">
      <c r="A1174" s="36">
        <v>7</v>
      </c>
      <c r="B1174" s="103" t="s">
        <v>653</v>
      </c>
      <c r="C1174" s="223"/>
      <c r="D1174" s="421"/>
    </row>
    <row r="1175" spans="1:4" x14ac:dyDescent="0.25">
      <c r="A1175" s="61">
        <v>8</v>
      </c>
      <c r="B1175" s="76" t="s">
        <v>299</v>
      </c>
      <c r="C1175" s="223"/>
      <c r="D1175" s="421"/>
    </row>
    <row r="1176" spans="1:4" x14ac:dyDescent="0.25">
      <c r="A1176" s="320">
        <v>9</v>
      </c>
      <c r="B1176" s="76" t="s">
        <v>367</v>
      </c>
      <c r="C1176" s="223"/>
      <c r="D1176" s="421"/>
    </row>
    <row r="1177" spans="1:4" ht="15.75" x14ac:dyDescent="0.25">
      <c r="A1177" s="61"/>
      <c r="B1177" s="307" t="s">
        <v>370</v>
      </c>
      <c r="C1177" s="260"/>
      <c r="D1177" s="421"/>
    </row>
    <row r="1178" spans="1:4" x14ac:dyDescent="0.25">
      <c r="A1178" s="61"/>
      <c r="B1178" s="406" t="s">
        <v>14</v>
      </c>
      <c r="C1178" s="260"/>
      <c r="D1178" s="421"/>
    </row>
    <row r="1179" spans="1:4" x14ac:dyDescent="0.25">
      <c r="A1179" s="56">
        <v>1</v>
      </c>
      <c r="B1179" s="88" t="s">
        <v>371</v>
      </c>
      <c r="C1179" s="223"/>
      <c r="D1179" s="421"/>
    </row>
    <row r="1180" spans="1:4" x14ac:dyDescent="0.25">
      <c r="A1180" s="56">
        <v>2</v>
      </c>
      <c r="B1180" s="88" t="s">
        <v>372</v>
      </c>
      <c r="C1180" s="223" t="s">
        <v>680</v>
      </c>
      <c r="D1180" s="421"/>
    </row>
    <row r="1181" spans="1:4" x14ac:dyDescent="0.25">
      <c r="A1181" s="56">
        <v>3</v>
      </c>
      <c r="B1181" s="88" t="s">
        <v>373</v>
      </c>
      <c r="C1181" s="223"/>
      <c r="D1181" s="421"/>
    </row>
    <row r="1182" spans="1:4" x14ac:dyDescent="0.25">
      <c r="A1182" s="56">
        <v>4</v>
      </c>
      <c r="B1182" s="88" t="s">
        <v>374</v>
      </c>
      <c r="C1182" s="223" t="s">
        <v>681</v>
      </c>
      <c r="D1182" s="421"/>
    </row>
    <row r="1183" spans="1:4" x14ac:dyDescent="0.25">
      <c r="A1183" s="56">
        <v>5</v>
      </c>
      <c r="B1183" s="76" t="s">
        <v>375</v>
      </c>
      <c r="C1183" s="223" t="s">
        <v>682</v>
      </c>
      <c r="D1183" s="421"/>
    </row>
    <row r="1184" spans="1:4" x14ac:dyDescent="0.25">
      <c r="A1184" s="56">
        <v>6</v>
      </c>
      <c r="B1184" s="76" t="s">
        <v>489</v>
      </c>
      <c r="C1184" s="223"/>
      <c r="D1184" s="421"/>
    </row>
    <row r="1185" spans="1:4" x14ac:dyDescent="0.25">
      <c r="A1185" s="56">
        <v>7</v>
      </c>
      <c r="B1185" s="76" t="s">
        <v>490</v>
      </c>
      <c r="C1185" s="223"/>
      <c r="D1185" s="421"/>
    </row>
    <row r="1186" spans="1:4" x14ac:dyDescent="0.25">
      <c r="A1186" s="56">
        <v>8</v>
      </c>
      <c r="B1186" s="76" t="s">
        <v>25</v>
      </c>
      <c r="C1186" s="223"/>
      <c r="D1186" s="421"/>
    </row>
    <row r="1187" spans="1:4" x14ac:dyDescent="0.25">
      <c r="A1187" s="61">
        <v>9</v>
      </c>
      <c r="B1187" s="76" t="s">
        <v>558</v>
      </c>
      <c r="C1187" s="223"/>
      <c r="D1187" s="421"/>
    </row>
    <row r="1188" spans="1:4" x14ac:dyDescent="0.25">
      <c r="A1188" s="61">
        <v>10</v>
      </c>
      <c r="B1188" s="76" t="s">
        <v>632</v>
      </c>
      <c r="C1188" s="223"/>
      <c r="D1188" s="421"/>
    </row>
    <row r="1189" spans="1:4" x14ac:dyDescent="0.25">
      <c r="A1189" s="47">
        <v>11</v>
      </c>
      <c r="B1189" s="76" t="s">
        <v>493</v>
      </c>
      <c r="C1189" s="223"/>
      <c r="D1189" s="421"/>
    </row>
    <row r="1190" spans="1:4" x14ac:dyDescent="0.25">
      <c r="A1190" s="61"/>
      <c r="B1190" s="406" t="s">
        <v>376</v>
      </c>
      <c r="C1190" s="271"/>
      <c r="D1190" s="421"/>
    </row>
    <row r="1191" spans="1:4" x14ac:dyDescent="0.25">
      <c r="A1191" s="61">
        <v>1</v>
      </c>
      <c r="B1191" s="76" t="s">
        <v>377</v>
      </c>
      <c r="C1191" s="223" t="s">
        <v>683</v>
      </c>
      <c r="D1191" s="421"/>
    </row>
    <row r="1192" spans="1:4" x14ac:dyDescent="0.25">
      <c r="A1192" s="61">
        <v>2</v>
      </c>
      <c r="B1192" s="60" t="s">
        <v>633</v>
      </c>
      <c r="C1192" s="223" t="s">
        <v>684</v>
      </c>
      <c r="D1192" s="421"/>
    </row>
    <row r="1193" spans="1:4" x14ac:dyDescent="0.25">
      <c r="A1193" s="61">
        <v>3</v>
      </c>
      <c r="B1193" s="60" t="s">
        <v>665</v>
      </c>
      <c r="C1193" s="223"/>
      <c r="D1193" s="421"/>
    </row>
    <row r="1194" spans="1:4" x14ac:dyDescent="0.25">
      <c r="A1194" s="61">
        <v>3</v>
      </c>
      <c r="B1194" s="60" t="s">
        <v>25</v>
      </c>
      <c r="C1194" s="223" t="s">
        <v>685</v>
      </c>
      <c r="D1194" s="421"/>
    </row>
    <row r="1195" spans="1:4" x14ac:dyDescent="0.25">
      <c r="A1195" s="61"/>
      <c r="B1195" s="406" t="s">
        <v>378</v>
      </c>
      <c r="C1195" s="260"/>
      <c r="D1195" s="421"/>
    </row>
    <row r="1196" spans="1:4" x14ac:dyDescent="0.25">
      <c r="A1196" s="61" t="s">
        <v>61</v>
      </c>
      <c r="B1196" s="76" t="s">
        <v>379</v>
      </c>
      <c r="C1196" s="223" t="s">
        <v>686</v>
      </c>
      <c r="D1196" s="421"/>
    </row>
    <row r="1197" spans="1:4" x14ac:dyDescent="0.25">
      <c r="A1197" s="61" t="s">
        <v>63</v>
      </c>
      <c r="B1197" s="88" t="s">
        <v>380</v>
      </c>
      <c r="C1197" s="223" t="s">
        <v>687</v>
      </c>
      <c r="D1197" s="421"/>
    </row>
    <row r="1198" spans="1:4" x14ac:dyDescent="0.25">
      <c r="A1198" s="61">
        <v>3</v>
      </c>
      <c r="B1198" s="76" t="s">
        <v>381</v>
      </c>
      <c r="C1198" s="223" t="s">
        <v>688</v>
      </c>
      <c r="D1198" s="421"/>
    </row>
    <row r="1199" spans="1:4" x14ac:dyDescent="0.25">
      <c r="A1199" s="61">
        <v>4</v>
      </c>
      <c r="B1199" s="308" t="s">
        <v>416</v>
      </c>
      <c r="C1199" s="223" t="s">
        <v>689</v>
      </c>
      <c r="D1199" s="421"/>
    </row>
    <row r="1200" spans="1:4" x14ac:dyDescent="0.25">
      <c r="A1200" s="61">
        <v>5</v>
      </c>
      <c r="B1200" s="76" t="s">
        <v>652</v>
      </c>
      <c r="C1200" s="260"/>
      <c r="D1200" s="421"/>
    </row>
    <row r="1201" spans="1:5" x14ac:dyDescent="0.25">
      <c r="A1201" s="61">
        <v>6</v>
      </c>
      <c r="B1201" s="76" t="s">
        <v>491</v>
      </c>
      <c r="C1201" s="260"/>
      <c r="D1201" s="421"/>
    </row>
    <row r="1202" spans="1:5" x14ac:dyDescent="0.25">
      <c r="A1202" s="61">
        <v>7</v>
      </c>
      <c r="B1202" s="76" t="s">
        <v>26</v>
      </c>
      <c r="C1202" s="223" t="s">
        <v>690</v>
      </c>
      <c r="D1202" s="421"/>
    </row>
    <row r="1203" spans="1:5" s="336" customFormat="1" x14ac:dyDescent="0.25">
      <c r="A1203" s="340"/>
      <c r="B1203" s="351" t="s">
        <v>382</v>
      </c>
      <c r="C1203" s="385"/>
      <c r="D1203" s="422"/>
    </row>
    <row r="1204" spans="1:5" s="336" customFormat="1" x14ac:dyDescent="0.25">
      <c r="A1204" s="340">
        <v>1</v>
      </c>
      <c r="B1204" s="349" t="s">
        <v>383</v>
      </c>
      <c r="C1204" s="338" t="s">
        <v>691</v>
      </c>
      <c r="D1204" s="422"/>
    </row>
    <row r="1205" spans="1:5" s="336" customFormat="1" x14ac:dyDescent="0.25">
      <c r="A1205" s="340">
        <v>2</v>
      </c>
      <c r="B1205" s="360" t="s">
        <v>384</v>
      </c>
      <c r="C1205" s="338" t="s">
        <v>692</v>
      </c>
      <c r="D1205" s="422"/>
    </row>
    <row r="1206" spans="1:5" s="336" customFormat="1" ht="26.25" x14ac:dyDescent="0.25">
      <c r="A1206" s="340">
        <v>3</v>
      </c>
      <c r="B1206" s="339" t="s">
        <v>385</v>
      </c>
      <c r="C1206" s="338" t="s">
        <v>693</v>
      </c>
      <c r="D1206" s="422"/>
    </row>
    <row r="1207" spans="1:5" s="336" customFormat="1" x14ac:dyDescent="0.25">
      <c r="A1207" s="340">
        <v>4</v>
      </c>
      <c r="B1207" s="335" t="s">
        <v>386</v>
      </c>
      <c r="C1207" s="338" t="s">
        <v>694</v>
      </c>
      <c r="D1207" s="422"/>
    </row>
    <row r="1208" spans="1:5" s="336" customFormat="1" ht="26.25" x14ac:dyDescent="0.25">
      <c r="A1208" s="340">
        <v>5</v>
      </c>
      <c r="B1208" s="339" t="s">
        <v>387</v>
      </c>
      <c r="C1208" s="338" t="s">
        <v>695</v>
      </c>
      <c r="D1208" s="422"/>
    </row>
    <row r="1209" spans="1:5" s="336" customFormat="1" x14ac:dyDescent="0.25">
      <c r="A1209" s="340">
        <v>6</v>
      </c>
      <c r="B1209" s="339" t="s">
        <v>388</v>
      </c>
      <c r="C1209" s="338" t="s">
        <v>696</v>
      </c>
      <c r="D1209" s="422"/>
    </row>
    <row r="1210" spans="1:5" s="336" customFormat="1" ht="26.25" x14ac:dyDescent="0.25">
      <c r="A1210" s="340">
        <v>7</v>
      </c>
      <c r="B1210" s="339" t="s">
        <v>389</v>
      </c>
      <c r="C1210" s="338" t="s">
        <v>697</v>
      </c>
      <c r="D1210" s="422"/>
    </row>
    <row r="1211" spans="1:5" s="336" customFormat="1" ht="26.25" x14ac:dyDescent="0.25">
      <c r="A1211" s="340">
        <v>8</v>
      </c>
      <c r="B1211" s="339" t="s">
        <v>503</v>
      </c>
      <c r="C1211" s="338" t="s">
        <v>698</v>
      </c>
      <c r="D1211" s="422"/>
    </row>
    <row r="1212" spans="1:5" s="336" customFormat="1" x14ac:dyDescent="0.25">
      <c r="A1212" s="340">
        <v>9</v>
      </c>
      <c r="B1212" s="339" t="s">
        <v>390</v>
      </c>
      <c r="C1212" s="338" t="s">
        <v>699</v>
      </c>
      <c r="D1212" s="422"/>
    </row>
    <row r="1213" spans="1:5" s="336" customFormat="1" x14ac:dyDescent="0.25">
      <c r="A1213" s="340">
        <v>10</v>
      </c>
      <c r="B1213" s="339" t="s">
        <v>391</v>
      </c>
      <c r="C1213" s="338" t="s">
        <v>700</v>
      </c>
      <c r="D1213" s="360"/>
      <c r="E1213" s="388"/>
    </row>
    <row r="1214" spans="1:5" s="336" customFormat="1" x14ac:dyDescent="0.25">
      <c r="A1214" s="340">
        <v>11</v>
      </c>
      <c r="B1214" s="339" t="s">
        <v>635</v>
      </c>
      <c r="C1214" s="338" t="s">
        <v>701</v>
      </c>
      <c r="D1214" s="422"/>
    </row>
    <row r="1215" spans="1:5" s="336" customFormat="1" x14ac:dyDescent="0.25">
      <c r="A1215" s="340">
        <v>12</v>
      </c>
      <c r="B1215" s="335" t="s">
        <v>392</v>
      </c>
      <c r="C1215" s="338" t="s">
        <v>702</v>
      </c>
      <c r="D1215" s="422"/>
    </row>
    <row r="1216" spans="1:5" x14ac:dyDescent="0.25">
      <c r="A1216" s="61">
        <v>13</v>
      </c>
      <c r="B1216" s="70" t="s">
        <v>636</v>
      </c>
      <c r="C1216" s="260"/>
      <c r="D1216" s="421"/>
    </row>
    <row r="1217" spans="1:4" x14ac:dyDescent="0.25">
      <c r="A1217" s="61">
        <v>14</v>
      </c>
      <c r="B1217" s="65" t="s">
        <v>393</v>
      </c>
      <c r="C1217" s="223"/>
      <c r="D1217" s="421"/>
    </row>
    <row r="1218" spans="1:4" x14ac:dyDescent="0.25">
      <c r="A1218" s="61">
        <v>15</v>
      </c>
      <c r="B1218" s="65" t="s">
        <v>394</v>
      </c>
      <c r="C1218" s="223"/>
      <c r="D1218" s="421"/>
    </row>
    <row r="1219" spans="1:4" x14ac:dyDescent="0.25">
      <c r="A1219" s="61">
        <v>16</v>
      </c>
      <c r="B1219" s="76" t="s">
        <v>395</v>
      </c>
      <c r="C1219" s="223"/>
      <c r="D1219" s="421"/>
    </row>
    <row r="1220" spans="1:4" x14ac:dyDescent="0.25">
      <c r="A1220" s="61">
        <v>17</v>
      </c>
      <c r="B1220" s="65" t="s">
        <v>396</v>
      </c>
      <c r="C1220" s="223" t="s">
        <v>703</v>
      </c>
      <c r="D1220" s="421"/>
    </row>
    <row r="1221" spans="1:4" x14ac:dyDescent="0.25">
      <c r="A1221" s="61">
        <v>18</v>
      </c>
      <c r="B1221" s="65" t="s">
        <v>638</v>
      </c>
      <c r="C1221" s="223" t="s">
        <v>704</v>
      </c>
      <c r="D1221" s="421"/>
    </row>
    <row r="1222" spans="1:4" x14ac:dyDescent="0.25">
      <c r="A1222" s="61">
        <v>19</v>
      </c>
      <c r="B1222" s="65" t="s">
        <v>492</v>
      </c>
      <c r="C1222" s="260"/>
      <c r="D1222" s="421"/>
    </row>
    <row r="1223" spans="1:4" x14ac:dyDescent="0.25">
      <c r="A1223" s="61">
        <v>20</v>
      </c>
      <c r="B1223" s="65" t="s">
        <v>397</v>
      </c>
      <c r="C1223" s="260"/>
      <c r="D1223" s="421"/>
    </row>
    <row r="1224" spans="1:4" s="336" customFormat="1" x14ac:dyDescent="0.25">
      <c r="A1224" s="370"/>
      <c r="B1224" s="351" t="s">
        <v>398</v>
      </c>
      <c r="C1224" s="453"/>
      <c r="D1224" s="422"/>
    </row>
    <row r="1225" spans="1:4" s="336" customFormat="1" x14ac:dyDescent="0.25">
      <c r="A1225" s="340">
        <v>1</v>
      </c>
      <c r="B1225" s="350" t="s">
        <v>399</v>
      </c>
      <c r="C1225" s="338" t="s">
        <v>705</v>
      </c>
      <c r="D1225" s="422"/>
    </row>
    <row r="1226" spans="1:4" s="336" customFormat="1" x14ac:dyDescent="0.25">
      <c r="A1226" s="340">
        <v>2</v>
      </c>
      <c r="B1226" s="350" t="s">
        <v>400</v>
      </c>
      <c r="C1226" s="338" t="s">
        <v>706</v>
      </c>
      <c r="D1226" s="422"/>
    </row>
    <row r="1227" spans="1:4" s="336" customFormat="1" x14ac:dyDescent="0.25">
      <c r="A1227" s="334"/>
      <c r="B1227" s="351" t="s">
        <v>402</v>
      </c>
      <c r="C1227" s="446"/>
      <c r="D1227" s="422"/>
    </row>
    <row r="1228" spans="1:4" s="336" customFormat="1" x14ac:dyDescent="0.25">
      <c r="A1228" s="334">
        <v>1</v>
      </c>
      <c r="B1228" s="335" t="s">
        <v>403</v>
      </c>
      <c r="C1228" s="338" t="s">
        <v>707</v>
      </c>
      <c r="D1228" s="422"/>
    </row>
    <row r="1229" spans="1:4" s="336" customFormat="1" x14ac:dyDescent="0.25">
      <c r="A1229" s="384" t="s">
        <v>639</v>
      </c>
      <c r="B1229" s="355"/>
      <c r="C1229" s="385"/>
      <c r="D1229" s="422"/>
    </row>
    <row r="1230" spans="1:4" s="336" customFormat="1" x14ac:dyDescent="0.25">
      <c r="A1230" s="340">
        <v>1</v>
      </c>
      <c r="B1230" s="353" t="s">
        <v>404</v>
      </c>
      <c r="C1230" s="338" t="s">
        <v>708</v>
      </c>
      <c r="D1230" s="422"/>
    </row>
    <row r="1231" spans="1:4" s="336" customFormat="1" x14ac:dyDescent="0.25">
      <c r="A1231" s="340">
        <v>2</v>
      </c>
      <c r="B1231" s="386" t="s">
        <v>250</v>
      </c>
      <c r="C1231" s="338" t="s">
        <v>709</v>
      </c>
      <c r="D1231" s="422"/>
    </row>
    <row r="1232" spans="1:4" x14ac:dyDescent="0.25">
      <c r="A1232" s="61">
        <v>3</v>
      </c>
      <c r="B1232" s="86" t="s">
        <v>405</v>
      </c>
      <c r="C1232" s="260"/>
      <c r="D1232" s="421"/>
    </row>
    <row r="1233" spans="1:4" x14ac:dyDescent="0.25">
      <c r="A1233" s="61">
        <v>4</v>
      </c>
      <c r="B1233" s="86" t="s">
        <v>406</v>
      </c>
      <c r="C1233" s="260"/>
      <c r="D1233" s="421"/>
    </row>
    <row r="1234" spans="1:4" x14ac:dyDescent="0.25">
      <c r="A1234" s="61">
        <v>5</v>
      </c>
      <c r="B1234" s="103" t="s">
        <v>407</v>
      </c>
      <c r="C1234" s="260"/>
      <c r="D1234" s="421"/>
    </row>
    <row r="1235" spans="1:4" s="336" customFormat="1" x14ac:dyDescent="0.25">
      <c r="A1235" s="387"/>
      <c r="B1235" s="351" t="s">
        <v>408</v>
      </c>
      <c r="C1235" s="385"/>
      <c r="D1235" s="422"/>
    </row>
    <row r="1236" spans="1:4" s="336" customFormat="1" x14ac:dyDescent="0.25">
      <c r="A1236" s="387">
        <v>1</v>
      </c>
      <c r="B1236" s="353" t="s">
        <v>640</v>
      </c>
      <c r="C1236" s="338" t="s">
        <v>710</v>
      </c>
      <c r="D1236" s="422"/>
    </row>
    <row r="1237" spans="1:4" s="336" customFormat="1" x14ac:dyDescent="0.25">
      <c r="A1237" s="387">
        <v>2</v>
      </c>
      <c r="B1237" s="353" t="s">
        <v>469</v>
      </c>
      <c r="C1237" s="338" t="s">
        <v>711</v>
      </c>
      <c r="D1237" s="422"/>
    </row>
    <row r="1238" spans="1:4" x14ac:dyDescent="0.25">
      <c r="A1238" s="56">
        <v>3</v>
      </c>
      <c r="B1238" s="76" t="s">
        <v>25</v>
      </c>
      <c r="C1238" s="223"/>
      <c r="D1238" s="421"/>
    </row>
    <row r="1239" spans="1:4" x14ac:dyDescent="0.25">
      <c r="A1239" s="56">
        <v>4</v>
      </c>
      <c r="B1239" s="76" t="s">
        <v>26</v>
      </c>
      <c r="C1239" s="223"/>
      <c r="D1239" s="421"/>
    </row>
    <row r="1240" spans="1:4" x14ac:dyDescent="0.25">
      <c r="A1240" s="79" t="s">
        <v>409</v>
      </c>
      <c r="B1240" s="60"/>
      <c r="C1240" s="271"/>
      <c r="D1240" s="421"/>
    </row>
    <row r="1241" spans="1:4" ht="26.25" x14ac:dyDescent="0.25">
      <c r="A1241" s="56">
        <v>1</v>
      </c>
      <c r="B1241" s="103" t="s">
        <v>410</v>
      </c>
      <c r="C1241" s="330" t="s">
        <v>712</v>
      </c>
      <c r="D1241" s="421"/>
    </row>
    <row r="1242" spans="1:4" x14ac:dyDescent="0.25">
      <c r="A1242" s="56">
        <v>2</v>
      </c>
      <c r="B1242" s="86" t="s">
        <v>411</v>
      </c>
      <c r="C1242" s="223"/>
      <c r="D1242" s="421"/>
    </row>
    <row r="1243" spans="1:4" x14ac:dyDescent="0.25">
      <c r="A1243" s="61">
        <v>3</v>
      </c>
      <c r="B1243" s="86" t="s">
        <v>412</v>
      </c>
      <c r="C1243" s="330" t="s">
        <v>713</v>
      </c>
      <c r="D1243" s="421"/>
    </row>
    <row r="1244" spans="1:4" x14ac:dyDescent="0.25">
      <c r="A1244" s="61">
        <v>4</v>
      </c>
      <c r="B1244" s="76" t="s">
        <v>413</v>
      </c>
      <c r="C1244" s="465" t="s">
        <v>714</v>
      </c>
      <c r="D1244" s="421"/>
    </row>
    <row r="1245" spans="1:4" x14ac:dyDescent="0.25">
      <c r="A1245" s="61">
        <v>5</v>
      </c>
      <c r="B1245" s="329" t="s">
        <v>35</v>
      </c>
      <c r="C1245" s="330" t="s">
        <v>715</v>
      </c>
      <c r="D1245" s="103"/>
    </row>
    <row r="1246" spans="1:4" x14ac:dyDescent="0.25">
      <c r="A1246" s="123"/>
      <c r="B1246" s="186" t="s">
        <v>414</v>
      </c>
      <c r="C1246" s="466"/>
      <c r="D1246" s="421"/>
    </row>
    <row r="1247" spans="1:4" x14ac:dyDescent="0.25">
      <c r="A1247" s="56">
        <v>6</v>
      </c>
      <c r="B1247" s="76" t="s">
        <v>415</v>
      </c>
      <c r="C1247" s="223"/>
      <c r="D1247" s="421"/>
    </row>
    <row r="1248" spans="1:4" x14ac:dyDescent="0.25">
      <c r="A1248" s="56">
        <v>7</v>
      </c>
      <c r="B1248" s="76" t="s">
        <v>492</v>
      </c>
      <c r="C1248" s="223"/>
      <c r="D1248" s="421"/>
    </row>
    <row r="1249" spans="1:4" x14ac:dyDescent="0.25">
      <c r="A1249" s="61">
        <v>8</v>
      </c>
      <c r="B1249" s="76" t="s">
        <v>25</v>
      </c>
      <c r="C1249" s="223"/>
      <c r="D1249" s="421"/>
    </row>
    <row r="1250" spans="1:4" x14ac:dyDescent="0.25">
      <c r="A1250" s="61">
        <v>9</v>
      </c>
      <c r="B1250" s="76" t="s">
        <v>412</v>
      </c>
      <c r="C1250" s="223"/>
      <c r="D1250" s="421"/>
    </row>
    <row r="1251" spans="1:4" x14ac:dyDescent="0.25">
      <c r="A1251" s="123"/>
      <c r="B1251" s="406" t="s">
        <v>531</v>
      </c>
      <c r="C1251" s="271"/>
      <c r="D1251" s="421"/>
    </row>
    <row r="1252" spans="1:4" x14ac:dyDescent="0.25">
      <c r="A1252" s="56">
        <v>1</v>
      </c>
      <c r="B1252" s="86" t="s">
        <v>532</v>
      </c>
      <c r="C1252" s="223"/>
      <c r="D1252" s="421"/>
    </row>
    <row r="1253" spans="1:4" x14ac:dyDescent="0.25">
      <c r="A1253" s="56">
        <v>2</v>
      </c>
      <c r="B1253" s="86" t="s">
        <v>533</v>
      </c>
      <c r="C1253" s="223"/>
      <c r="D1253" s="421"/>
    </row>
    <row r="1254" spans="1:4" x14ac:dyDescent="0.25">
      <c r="A1254" s="56"/>
      <c r="B1254" s="86" t="s">
        <v>32</v>
      </c>
      <c r="C1254" s="223"/>
      <c r="D1254" s="421"/>
    </row>
    <row r="1255" spans="1:4" ht="26.25" x14ac:dyDescent="0.25">
      <c r="B1255" s="86" t="s">
        <v>416</v>
      </c>
      <c r="C1255" s="223"/>
      <c r="D1255" s="103" t="s">
        <v>716</v>
      </c>
    </row>
    <row r="1256" spans="1:4" x14ac:dyDescent="0.25">
      <c r="B1256" s="76" t="s">
        <v>417</v>
      </c>
      <c r="C1256" s="223"/>
      <c r="D1256" s="421"/>
    </row>
    <row r="1257" spans="1:4" x14ac:dyDescent="0.25">
      <c r="A1257" s="56">
        <v>3</v>
      </c>
      <c r="B1257" s="76" t="s">
        <v>25</v>
      </c>
      <c r="C1257" s="223"/>
      <c r="D1257" s="421"/>
    </row>
    <row r="1258" spans="1:4" x14ac:dyDescent="0.25">
      <c r="A1258" s="56">
        <v>5</v>
      </c>
      <c r="B1258" s="76" t="s">
        <v>418</v>
      </c>
      <c r="C1258" s="223"/>
      <c r="D1258" s="421"/>
    </row>
    <row r="1259" spans="1:4" x14ac:dyDescent="0.25">
      <c r="A1259" s="56"/>
      <c r="B1259" s="406" t="s">
        <v>494</v>
      </c>
      <c r="C1259" s="271"/>
      <c r="D1259" s="421"/>
    </row>
    <row r="1260" spans="1:4" x14ac:dyDescent="0.25">
      <c r="A1260" s="56">
        <v>1</v>
      </c>
      <c r="B1260" s="76" t="s">
        <v>495</v>
      </c>
      <c r="C1260" s="223"/>
      <c r="D1260" s="421"/>
    </row>
    <row r="1261" spans="1:4" x14ac:dyDescent="0.25">
      <c r="A1261" s="56">
        <v>2</v>
      </c>
      <c r="B1261" s="76" t="s">
        <v>496</v>
      </c>
      <c r="C1261" s="223"/>
      <c r="D1261" s="421"/>
    </row>
    <row r="1262" spans="1:4" x14ac:dyDescent="0.25">
      <c r="A1262" s="56">
        <v>3</v>
      </c>
      <c r="B1262" s="76" t="s">
        <v>25</v>
      </c>
      <c r="C1262" s="223"/>
      <c r="D1262" s="421"/>
    </row>
    <row r="1263" spans="1:4" x14ac:dyDescent="0.25">
      <c r="A1263" s="56"/>
      <c r="B1263" s="79" t="s">
        <v>497</v>
      </c>
      <c r="C1263" s="271"/>
      <c r="D1263" s="421"/>
    </row>
    <row r="1264" spans="1:4" x14ac:dyDescent="0.25">
      <c r="A1264" s="56">
        <v>1</v>
      </c>
      <c r="B1264" s="76" t="s">
        <v>642</v>
      </c>
      <c r="C1264" s="223"/>
      <c r="D1264" s="421"/>
    </row>
    <row r="1265" spans="1:4" x14ac:dyDescent="0.25">
      <c r="A1265" s="56">
        <v>2</v>
      </c>
      <c r="B1265" s="76" t="s">
        <v>666</v>
      </c>
      <c r="C1265" s="223"/>
      <c r="D1265" s="421"/>
    </row>
    <row r="1266" spans="1:4" x14ac:dyDescent="0.25">
      <c r="A1266" s="56">
        <v>3</v>
      </c>
      <c r="B1266" s="76" t="s">
        <v>498</v>
      </c>
      <c r="C1266" s="223"/>
      <c r="D1266" s="421"/>
    </row>
    <row r="1267" spans="1:4" x14ac:dyDescent="0.25">
      <c r="A1267" s="56"/>
      <c r="B1267" s="90" t="s">
        <v>528</v>
      </c>
      <c r="C1267" s="271"/>
      <c r="D1267" s="421"/>
    </row>
    <row r="1268" spans="1:4" x14ac:dyDescent="0.25">
      <c r="A1268" s="56">
        <v>1</v>
      </c>
      <c r="B1268" s="76" t="s">
        <v>495</v>
      </c>
      <c r="C1268" s="223"/>
      <c r="D1268" s="421"/>
    </row>
    <row r="1269" spans="1:4" x14ac:dyDescent="0.25">
      <c r="A1269" s="56">
        <v>2</v>
      </c>
      <c r="B1269" s="76" t="s">
        <v>529</v>
      </c>
      <c r="C1269" s="223"/>
      <c r="D1269" s="421"/>
    </row>
    <row r="1270" spans="1:4" x14ac:dyDescent="0.25">
      <c r="A1270" s="56">
        <v>3</v>
      </c>
      <c r="B1270" s="76" t="s">
        <v>445</v>
      </c>
      <c r="C1270" s="223"/>
      <c r="D1270" s="421"/>
    </row>
    <row r="1271" spans="1:4" x14ac:dyDescent="0.25">
      <c r="A1271" s="56">
        <v>4</v>
      </c>
      <c r="B1271" s="76" t="s">
        <v>530</v>
      </c>
      <c r="C1271" s="223"/>
      <c r="D1271" s="421"/>
    </row>
    <row r="1272" spans="1:4" ht="15.75" x14ac:dyDescent="0.25">
      <c r="A1272" s="56"/>
      <c r="B1272" s="221" t="s">
        <v>419</v>
      </c>
      <c r="C1272" s="223"/>
      <c r="D1272" s="421"/>
    </row>
    <row r="1273" spans="1:4" x14ac:dyDescent="0.25">
      <c r="A1273" s="56">
        <v>1</v>
      </c>
      <c r="B1273" s="76" t="s">
        <v>420</v>
      </c>
      <c r="C1273" s="330" t="s">
        <v>717</v>
      </c>
      <c r="D1273" s="421"/>
    </row>
    <row r="1274" spans="1:4" x14ac:dyDescent="0.25">
      <c r="A1274" s="56">
        <v>2</v>
      </c>
      <c r="B1274" s="88" t="s">
        <v>421</v>
      </c>
      <c r="C1274" s="223"/>
      <c r="D1274" s="421"/>
    </row>
    <row r="1275" spans="1:4" x14ac:dyDescent="0.25">
      <c r="A1275" s="61"/>
      <c r="B1275" s="196" t="s">
        <v>422</v>
      </c>
      <c r="C1275" s="223"/>
      <c r="D1275" s="421"/>
    </row>
    <row r="1276" spans="1:4" x14ac:dyDescent="0.25">
      <c r="A1276" s="56">
        <v>3</v>
      </c>
      <c r="B1276" s="76" t="s">
        <v>412</v>
      </c>
      <c r="C1276" s="330" t="s">
        <v>718</v>
      </c>
      <c r="D1276" s="421"/>
    </row>
    <row r="1277" spans="1:4" x14ac:dyDescent="0.25">
      <c r="A1277" s="56">
        <v>4</v>
      </c>
      <c r="B1277" s="76" t="s">
        <v>423</v>
      </c>
      <c r="C1277" s="330" t="s">
        <v>719</v>
      </c>
      <c r="D1277" s="421"/>
    </row>
    <row r="1278" spans="1:4" x14ac:dyDescent="0.25">
      <c r="A1278" s="56">
        <v>5</v>
      </c>
      <c r="B1278" s="88" t="s">
        <v>424</v>
      </c>
      <c r="C1278" s="223"/>
      <c r="D1278" s="421"/>
    </row>
    <row r="1279" spans="1:4" x14ac:dyDescent="0.25">
      <c r="A1279" s="56">
        <v>6</v>
      </c>
      <c r="B1279" s="88" t="s">
        <v>425</v>
      </c>
      <c r="C1279" s="330" t="s">
        <v>720</v>
      </c>
      <c r="D1279" s="421"/>
    </row>
    <row r="1280" spans="1:4" x14ac:dyDescent="0.25">
      <c r="A1280" s="61">
        <v>7</v>
      </c>
      <c r="B1280" s="76" t="s">
        <v>426</v>
      </c>
      <c r="C1280" s="223"/>
      <c r="D1280" s="421"/>
    </row>
    <row r="1281" spans="1:4" x14ac:dyDescent="0.25">
      <c r="A1281" s="61">
        <v>8</v>
      </c>
      <c r="B1281" s="88" t="s">
        <v>427</v>
      </c>
      <c r="C1281" s="223"/>
      <c r="D1281" s="421"/>
    </row>
    <row r="1282" spans="1:4" x14ac:dyDescent="0.25">
      <c r="A1282" s="61">
        <v>9</v>
      </c>
      <c r="B1282" s="88" t="s">
        <v>413</v>
      </c>
      <c r="C1282" s="223"/>
      <c r="D1282" s="421"/>
    </row>
    <row r="1283" spans="1:4" x14ac:dyDescent="0.25">
      <c r="A1283" s="61"/>
      <c r="B1283" s="196" t="s">
        <v>428</v>
      </c>
      <c r="C1283" s="271"/>
      <c r="D1283" s="421"/>
    </row>
    <row r="1284" spans="1:4" x14ac:dyDescent="0.25">
      <c r="A1284" s="56">
        <v>10</v>
      </c>
      <c r="B1284" s="103" t="s">
        <v>429</v>
      </c>
      <c r="C1284" s="223"/>
      <c r="D1284" s="427"/>
    </row>
    <row r="1285" spans="1:4" x14ac:dyDescent="0.25">
      <c r="A1285" s="56">
        <v>11</v>
      </c>
      <c r="B1285" s="103" t="s">
        <v>430</v>
      </c>
      <c r="C1285" s="223"/>
      <c r="D1285" s="427"/>
    </row>
    <row r="1286" spans="1:4" x14ac:dyDescent="0.25">
      <c r="A1286" s="56">
        <v>12</v>
      </c>
      <c r="B1286" s="88" t="s">
        <v>431</v>
      </c>
      <c r="C1286" s="223"/>
      <c r="D1286" s="427"/>
    </row>
    <row r="1287" spans="1:4" x14ac:dyDescent="0.25">
      <c r="A1287" s="56">
        <v>13</v>
      </c>
      <c r="B1287" s="88" t="s">
        <v>432</v>
      </c>
      <c r="C1287" s="223"/>
      <c r="D1287" s="427"/>
    </row>
    <row r="1288" spans="1:4" x14ac:dyDescent="0.25">
      <c r="A1288" s="56">
        <v>14</v>
      </c>
      <c r="B1288" s="88" t="s">
        <v>316</v>
      </c>
      <c r="C1288" s="223"/>
      <c r="D1288" s="427"/>
    </row>
    <row r="1289" spans="1:4" x14ac:dyDescent="0.25">
      <c r="A1289" s="56">
        <v>15</v>
      </c>
      <c r="B1289" s="88" t="s">
        <v>433</v>
      </c>
      <c r="C1289" s="223"/>
      <c r="D1289" s="427"/>
    </row>
    <row r="1290" spans="1:4" ht="26.25" x14ac:dyDescent="0.25">
      <c r="A1290" s="56">
        <v>16</v>
      </c>
      <c r="B1290" s="88" t="s">
        <v>434</v>
      </c>
      <c r="C1290" s="223"/>
      <c r="D1290" s="427"/>
    </row>
    <row r="1291" spans="1:4" x14ac:dyDescent="0.25">
      <c r="A1291" s="124"/>
      <c r="B1291" s="79" t="s">
        <v>436</v>
      </c>
      <c r="C1291" s="409"/>
      <c r="D1291" s="421"/>
    </row>
    <row r="1292" spans="1:4" x14ac:dyDescent="0.25">
      <c r="A1292" s="61">
        <v>1</v>
      </c>
      <c r="B1292" s="88" t="s">
        <v>437</v>
      </c>
      <c r="C1292" s="223"/>
      <c r="D1292" s="421"/>
    </row>
    <row r="1293" spans="1:4" x14ac:dyDescent="0.25">
      <c r="A1293" s="61">
        <v>2</v>
      </c>
      <c r="B1293" s="88" t="s">
        <v>25</v>
      </c>
      <c r="C1293" s="223"/>
      <c r="D1293" s="421"/>
    </row>
    <row r="1294" spans="1:4" x14ac:dyDescent="0.25">
      <c r="A1294" s="56">
        <v>3</v>
      </c>
      <c r="B1294" s="76" t="s">
        <v>438</v>
      </c>
      <c r="C1294" s="223"/>
      <c r="D1294" s="421"/>
    </row>
    <row r="1295" spans="1:4" x14ac:dyDescent="0.25">
      <c r="A1295" s="61">
        <v>4</v>
      </c>
      <c r="B1295" s="76" t="s">
        <v>439</v>
      </c>
      <c r="C1295" s="223"/>
      <c r="D1295" s="421"/>
    </row>
    <row r="1296" spans="1:4" x14ac:dyDescent="0.25">
      <c r="A1296" s="61">
        <v>5</v>
      </c>
      <c r="B1296" s="76" t="s">
        <v>440</v>
      </c>
      <c r="C1296" s="260"/>
      <c r="D1296" s="421"/>
    </row>
    <row r="1297" spans="1:4" x14ac:dyDescent="0.25">
      <c r="A1297" s="61">
        <v>6</v>
      </c>
      <c r="B1297" s="76" t="s">
        <v>25</v>
      </c>
      <c r="C1297" s="260"/>
      <c r="D1297" s="421"/>
    </row>
    <row r="1298" spans="1:4" x14ac:dyDescent="0.25">
      <c r="A1298" s="61"/>
      <c r="B1298" s="406" t="s">
        <v>441</v>
      </c>
      <c r="C1298" s="260"/>
      <c r="D1298" s="421"/>
    </row>
    <row r="1299" spans="1:4" x14ac:dyDescent="0.25">
      <c r="A1299" s="61">
        <v>1</v>
      </c>
      <c r="B1299" s="76" t="s">
        <v>442</v>
      </c>
      <c r="C1299" s="260"/>
      <c r="D1299" s="421"/>
    </row>
    <row r="1300" spans="1:4" x14ac:dyDescent="0.25">
      <c r="A1300" s="61">
        <v>2</v>
      </c>
      <c r="B1300" s="76" t="s">
        <v>443</v>
      </c>
      <c r="C1300" s="260"/>
      <c r="D1300" s="421"/>
    </row>
    <row r="1301" spans="1:4" x14ac:dyDescent="0.25">
      <c r="A1301" s="61">
        <v>3</v>
      </c>
      <c r="B1301" s="76" t="s">
        <v>444</v>
      </c>
      <c r="C1301" s="260"/>
      <c r="D1301" s="421"/>
    </row>
    <row r="1302" spans="1:4" x14ac:dyDescent="0.25">
      <c r="A1302" s="61">
        <v>4</v>
      </c>
      <c r="B1302" s="76" t="s">
        <v>445</v>
      </c>
      <c r="C1302" s="260"/>
      <c r="D1302" s="421"/>
    </row>
    <row r="1303" spans="1:4" x14ac:dyDescent="0.25">
      <c r="A1303" s="61">
        <v>5</v>
      </c>
      <c r="B1303" s="76" t="s">
        <v>446</v>
      </c>
      <c r="C1303" s="260"/>
      <c r="D1303" s="421"/>
    </row>
    <row r="1304" spans="1:4" x14ac:dyDescent="0.25">
      <c r="A1304" s="61">
        <v>6</v>
      </c>
      <c r="B1304" s="76" t="s">
        <v>499</v>
      </c>
      <c r="C1304" s="260"/>
      <c r="D1304" s="421"/>
    </row>
    <row r="1305" spans="1:4" x14ac:dyDescent="0.25">
      <c r="A1305" s="61">
        <v>7</v>
      </c>
      <c r="B1305" s="76" t="s">
        <v>299</v>
      </c>
      <c r="C1305" s="223"/>
      <c r="D1305" s="421"/>
    </row>
    <row r="1306" spans="1:4" x14ac:dyDescent="0.25">
      <c r="A1306" s="62" t="s">
        <v>447</v>
      </c>
      <c r="B1306" s="60"/>
      <c r="C1306" s="260"/>
      <c r="D1306" s="421"/>
    </row>
    <row r="1307" spans="1:4" ht="26.25" x14ac:dyDescent="0.25">
      <c r="A1307" s="56">
        <v>1</v>
      </c>
      <c r="B1307" s="70" t="s">
        <v>643</v>
      </c>
      <c r="C1307" s="330" t="s">
        <v>721</v>
      </c>
      <c r="D1307" s="421"/>
    </row>
    <row r="1308" spans="1:4" ht="26.25" x14ac:dyDescent="0.25">
      <c r="A1308" s="56">
        <v>2</v>
      </c>
      <c r="B1308" s="70" t="s">
        <v>667</v>
      </c>
      <c r="C1308" s="260"/>
      <c r="D1308" s="421"/>
    </row>
    <row r="1309" spans="1:4" x14ac:dyDescent="0.25">
      <c r="A1309" s="134"/>
      <c r="B1309" s="72"/>
      <c r="C1309" s="271"/>
      <c r="D1309" s="421"/>
    </row>
    <row r="1310" spans="1:4" x14ac:dyDescent="0.25">
      <c r="A1310" s="123"/>
      <c r="B1310" s="408" t="s">
        <v>448</v>
      </c>
      <c r="C1310" s="260"/>
      <c r="D1310" s="421"/>
    </row>
    <row r="1311" spans="1:4" x14ac:dyDescent="0.25">
      <c r="A1311" s="56">
        <v>2</v>
      </c>
      <c r="B1311" s="65" t="s">
        <v>449</v>
      </c>
      <c r="C1311" s="330" t="s">
        <v>722</v>
      </c>
      <c r="D1311" s="421"/>
    </row>
    <row r="1312" spans="1:4" x14ac:dyDescent="0.25">
      <c r="A1312" s="56">
        <v>3</v>
      </c>
      <c r="B1312" s="65" t="s">
        <v>450</v>
      </c>
      <c r="C1312" s="260"/>
      <c r="D1312" s="421"/>
    </row>
    <row r="1313" spans="1:4" x14ac:dyDescent="0.25">
      <c r="A1313" s="56">
        <v>4</v>
      </c>
      <c r="B1313" s="65" t="s">
        <v>451</v>
      </c>
      <c r="C1313" s="260"/>
      <c r="D1313" s="421"/>
    </row>
    <row r="1314" spans="1:4" x14ac:dyDescent="0.25">
      <c r="A1314" s="56"/>
      <c r="B1314" s="408" t="s">
        <v>452</v>
      </c>
      <c r="C1314" s="410"/>
      <c r="D1314" s="421"/>
    </row>
    <row r="1315" spans="1:4" x14ac:dyDescent="0.25">
      <c r="A1315" s="56">
        <v>5</v>
      </c>
      <c r="B1315" s="65" t="s">
        <v>453</v>
      </c>
      <c r="C1315" s="223"/>
      <c r="D1315" s="421"/>
    </row>
    <row r="1316" spans="1:4" x14ac:dyDescent="0.25">
      <c r="A1316" s="56">
        <v>6</v>
      </c>
      <c r="B1316" s="65" t="s">
        <v>454</v>
      </c>
      <c r="C1316" s="223"/>
      <c r="D1316" s="421"/>
    </row>
    <row r="1317" spans="1:4" x14ac:dyDescent="0.25">
      <c r="A1317" s="56">
        <v>7</v>
      </c>
      <c r="B1317" s="65" t="s">
        <v>455</v>
      </c>
      <c r="C1317" s="223"/>
      <c r="D1317" s="421"/>
    </row>
  </sheetData>
  <mergeCells count="46">
    <mergeCell ref="A1157:A1159"/>
    <mergeCell ref="B1157:B1159"/>
    <mergeCell ref="A1128:A1129"/>
    <mergeCell ref="B1128:B1129"/>
    <mergeCell ref="B1138:B1140"/>
    <mergeCell ref="B1141:B1143"/>
    <mergeCell ref="A1154:A1156"/>
    <mergeCell ref="B1154:B1156"/>
    <mergeCell ref="A1114:A1116"/>
    <mergeCell ref="B1114:B1116"/>
    <mergeCell ref="A1118:A1120"/>
    <mergeCell ref="B1118:B1120"/>
    <mergeCell ref="A1126:A1127"/>
    <mergeCell ref="B1126:B1127"/>
    <mergeCell ref="A1094:A1095"/>
    <mergeCell ref="B1094:B1095"/>
    <mergeCell ref="A1102:A1103"/>
    <mergeCell ref="B1102:B1103"/>
    <mergeCell ref="A1106:A1107"/>
    <mergeCell ref="B1106:B1107"/>
    <mergeCell ref="A1077:A1079"/>
    <mergeCell ref="B1077:B1079"/>
    <mergeCell ref="A1055:A1056"/>
    <mergeCell ref="B1055:B1056"/>
    <mergeCell ref="A1057:A1058"/>
    <mergeCell ref="B1057:B1058"/>
    <mergeCell ref="A1059:A1061"/>
    <mergeCell ref="B1059:B1061"/>
    <mergeCell ref="A1062:A1064"/>
    <mergeCell ref="B1062:B1064"/>
    <mergeCell ref="B1066:B1067"/>
    <mergeCell ref="A1073:A1075"/>
    <mergeCell ref="B1073:B1075"/>
    <mergeCell ref="D13:D14"/>
    <mergeCell ref="C26:D29"/>
    <mergeCell ref="A36:B36"/>
    <mergeCell ref="A1053:A1054"/>
    <mergeCell ref="B1053:B1054"/>
    <mergeCell ref="A13:A14"/>
    <mergeCell ref="B13:B14"/>
    <mergeCell ref="C13:C14"/>
    <mergeCell ref="B220:C220"/>
    <mergeCell ref="A472:C472"/>
    <mergeCell ref="A949:C949"/>
    <mergeCell ref="A1050:A1052"/>
    <mergeCell ref="B1050:B10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01.01.2017г.для тариф.</vt:lpstr>
      <vt:lpstr>рабочий 2017г.</vt:lpstr>
      <vt:lpstr>Лист1</vt:lpstr>
      <vt:lpstr>'на 01.01.2017г.для тариф.'!Заголовки_для_печати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Доброва Галина Леонидовна</dc:creator>
  <cp:lastModifiedBy>Ширяева Юлия Михайловна</cp:lastModifiedBy>
  <cp:lastPrinted>2019-12-07T07:52:16Z</cp:lastPrinted>
  <dcterms:created xsi:type="dcterms:W3CDTF">2016-01-12T15:23:28Z</dcterms:created>
  <dcterms:modified xsi:type="dcterms:W3CDTF">2021-02-10T11:37:20Z</dcterms:modified>
</cp:coreProperties>
</file>